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uCGpnsyw3gmgUlq5NDmOSKYE2ufLOtVFxDoAn7nnxwgKbOjV7hQfyf7z2r1Cv+Y0U3oN431zG+F3GbuEeEhA==" workbookSaltValue="cKBrl3n6auIl7kHPhkM1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T9" i="11"/>
  <c r="BL17" i="11"/>
  <c r="S13" i="16"/>
  <c r="H18" i="16"/>
  <c r="BN18" i="16"/>
  <c r="P13" i="16"/>
  <c r="AM13" i="20"/>
  <c r="AN13" i="20"/>
  <c r="AT17" i="20"/>
  <c r="Z13" i="17"/>
  <c r="M13" i="2"/>
  <c r="BH9" i="11"/>
  <c r="BM15" i="11"/>
  <c r="BW15" i="20"/>
  <c r="AA17" i="16"/>
  <c r="S15" i="16"/>
  <c r="BL10" i="11"/>
  <c r="BH11" i="11"/>
  <c r="BH12" i="16"/>
  <c r="T13" i="20"/>
  <c r="BG12" i="8"/>
  <c r="BD9" i="8"/>
  <c r="L17"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BE12" i="8"/>
  <c r="R19" i="8"/>
  <c r="T19" i="8"/>
  <c r="BG10" i="8"/>
  <c r="C12" i="14"/>
  <c r="K12" i="14" s="1"/>
  <c r="V10" i="16"/>
  <c r="S17" i="17"/>
  <c r="BJ10" i="11"/>
  <c r="BF12" i="11"/>
  <c r="BU16" i="17"/>
  <c r="BW17" i="20"/>
  <c r="BI17" i="11"/>
  <c r="BK15" i="11"/>
  <c r="BH17" i="16"/>
  <c r="F17" i="17"/>
  <c r="AQ17" i="17" s="1"/>
  <c r="F17" i="16"/>
  <c r="BL17" i="16" s="1"/>
  <c r="H9" i="7"/>
  <c r="E12" i="6"/>
  <c r="BV10" i="16"/>
  <c r="BW16" i="20"/>
  <c r="BU15" i="17"/>
  <c r="BL11" i="11"/>
  <c r="BJ11" i="11"/>
  <c r="AP10" i="21"/>
  <c r="BF10" i="11"/>
  <c r="BM16" i="11"/>
  <c r="BH11" i="16"/>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S10" i="14"/>
  <c r="V10" i="14" s="1"/>
  <c r="R10" i="14"/>
  <c r="R16" i="14"/>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2"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<sst xmlns="http://schemas.openxmlformats.org/spreadsheetml/2006/main" count="2094" uniqueCount="913">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</sst>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vPTfYz0ydQM8pSjQqQU3/1ITaGq1nCg3uEU15X14NQ9EN/ryHM4zOiFi9cF2pr/wVhBA1FOzGPj3by9trnWjA==" saltValue="B0xmG8iUWgbHCdTkr10e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24.7887323943662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293</v>
      </c>
      <c r="D16" s="228">
        <f>IF(ISNUMBER(IF(D_I="SI",Datos!I16,Datos!I16+Datos!AC16)),IF(D_I="SI",Datos!I16,Datos!I16+Datos!AC16)," - ")</f>
        <v>293</v>
      </c>
      <c r="E16" s="229">
        <f>IF(ISNUMBER(IF(D_I="SI",Datos!J16,Datos!J16+Datos!AD16)),IF(D_I="SI",Datos!J16,Datos!J16+Datos!AD16)," - ")</f>
        <v>159</v>
      </c>
      <c r="F16" s="229">
        <f>IF(ISNUMBER(IF(D_I="SI",Datos!K16,Datos!K16+Datos!AE16)),IF(D_I="SI",Datos!K16,Datos!K16+Datos!AE16)," - ")</f>
        <v>123</v>
      </c>
      <c r="G16" s="1037" t="str">
        <f>IF(Datos!E16&lt;&gt;"",Datos!E16,Datos!D16)</f>
        <v>04</v>
      </c>
      <c r="H16" s="230">
        <f>IF(ISNUMBER(IF(D_I="SI",Datos!L16,Datos!L16+Datos!AF16)),IF(D_I="SI",Datos!L16,Datos!L16+Datos!AF16)," - ")</f>
        <v>329</v>
      </c>
      <c r="I16" s="1047" t="str">
        <f>IF(ISNUMBER(Datos!AS16/Datos!BM16),Datos!AS16/Datos!BM16," - ")</f>
        <v xml:space="preserve"> - </v>
      </c>
      <c r="J16" s="1048">
        <f>IF(ISNUMBER(Datos!BY16/Datos!CN16),Datos!BY16/Datos!CN16," - ")</f>
        <v>0</v>
      </c>
      <c r="K16" s="233">
        <f t="shared" si="3"/>
        <v>0.12286689419795221</v>
      </c>
      <c r="L16" s="1028">
        <f>IF(ISNUMBER(NºAsuntos!I16/NºAsuntos!G16),(NºAsuntos!I16/NºAsuntos!G16)*11," - ")</f>
        <v>29.422764227642276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25</v>
      </c>
      <c r="E17" s="229">
        <f>IF(ISNUMBER(IF(D_I="SI",Datos!J17,Datos!J17+Datos!AD17)),IF(D_I="SI",Datos!J17,Datos!J17+Datos!AD17)," - ")</f>
        <v>17</v>
      </c>
      <c r="F17" s="229">
        <f>IF(ISNUMBER(IF(D_I="SI",Datos!K17,Datos!K17+Datos!AE17)),IF(D_I="SI",Datos!K17,Datos!K17+Datos!AE17)," - ")</f>
        <v>12</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0.19230769230769232</v>
      </c>
      <c r="L17" s="1028">
        <f>IF(ISNUMBER(NºAsuntos!I17/NºAsuntos!G17),(NºAsuntos!I17/NºAsuntos!G17)*11," - ")</f>
        <v>28.416666666666668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319</v>
      </c>
      <c r="D18" s="1052">
        <f>SUBTOTAL(9,D15:D17)</f>
        <v>318</v>
      </c>
      <c r="E18" s="1053">
        <f>SUBTOTAL(9,E15:E17)</f>
        <v>176</v>
      </c>
      <c r="F18" s="1053">
        <f>SUBTOTAL(9,F15:F17)</f>
        <v>135</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319</v>
      </c>
      <c r="D19" s="1074">
        <f>SUBTOTAL(9,D9:D18)</f>
        <v>318</v>
      </c>
      <c r="E19" s="1075">
        <f>SUBTOTAL(9,E9:E18)</f>
        <v>176</v>
      </c>
      <c r="F19" s="1075">
        <f>SUBTOTAL(9,F9:F18)</f>
        <v>135</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36TyxVlKJJ+Ha1+x1VR6OKM6g/20VYQZ+yjB7Hn4gcqaySPirlXTLVCR8ZeoC3a2GlZr7UZcPSPu14Gyot0ew==" saltValue="DTwE8DCdCfCp9JUGzx1FG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8taN5Smmrf2hh/+ZkCuP6QZ8t3/eeGSZDCQDGIUruWuPfQw/6x3uyRfKJbGEA2ntgMqEYYBQXtzPK3jI6eARUw==" saltValue="W/4fFTk+iBlRH2tI7WR/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585</v>
      </c>
      <c r="J12" s="186">
        <v>275</v>
      </c>
      <c r="K12" s="186">
        <v>254</v>
      </c>
      <c r="L12" s="186">
        <v>606</v>
      </c>
      <c r="M12" s="186">
        <v>97</v>
      </c>
      <c r="N12" s="186">
        <v>136</v>
      </c>
      <c r="O12" s="184">
        <v>61</v>
      </c>
      <c r="P12" s="186">
        <v>59</v>
      </c>
      <c r="Q12" s="186">
        <v>39</v>
      </c>
      <c r="R12" s="186">
        <v>834</v>
      </c>
      <c r="S12" s="186">
        <v>426</v>
      </c>
      <c r="T12" s="186">
        <v>249</v>
      </c>
      <c r="U12" s="186">
        <v>229</v>
      </c>
      <c r="V12" s="186">
        <v>446</v>
      </c>
      <c r="W12" s="186">
        <v>88</v>
      </c>
      <c r="X12" s="192">
        <v>119</v>
      </c>
      <c r="Y12" s="194">
        <v>38</v>
      </c>
      <c r="Z12" s="184">
        <v>26</v>
      </c>
      <c r="AA12" s="184">
        <v>30</v>
      </c>
      <c r="AB12" s="184">
        <v>34</v>
      </c>
      <c r="AC12" s="186">
        <v>0</v>
      </c>
      <c r="AD12" s="186">
        <v>0</v>
      </c>
      <c r="AE12" s="186">
        <v>0</v>
      </c>
      <c r="AF12" s="192">
        <v>0</v>
      </c>
      <c r="AG12" s="205">
        <v>33</v>
      </c>
      <c r="AH12" s="186">
        <v>29</v>
      </c>
      <c r="AI12" s="186">
        <v>25</v>
      </c>
      <c r="AJ12" s="206">
        <v>37</v>
      </c>
      <c r="AK12" s="185">
        <v>0</v>
      </c>
      <c r="AL12" s="186">
        <v>0</v>
      </c>
      <c r="AM12" s="186">
        <v>0</v>
      </c>
      <c r="AN12" s="192">
        <v>0</v>
      </c>
      <c r="AO12" s="262">
        <v>2</v>
      </c>
      <c r="AP12" s="158">
        <v>2</v>
      </c>
      <c r="AQ12" s="158">
        <v>2</v>
      </c>
      <c r="AR12" s="157">
        <v>2</v>
      </c>
      <c r="AS12" s="343" t="s">
        <v>807</v>
      </c>
      <c r="AT12" s="206"/>
      <c r="AU12" s="205"/>
      <c r="AV12" s="206"/>
      <c r="AW12" s="205"/>
      <c r="AX12" s="206"/>
      <c r="AY12" s="126">
        <f t="shared" si="1"/>
        <v>459</v>
      </c>
      <c r="AZ12" s="127">
        <f t="shared" si="1"/>
        <v>278</v>
      </c>
      <c r="BA12" s="127">
        <f t="shared" si="1"/>
        <v>254</v>
      </c>
      <c r="BB12" s="127">
        <f t="shared" si="1"/>
        <v>483</v>
      </c>
      <c r="BC12" s="125">
        <f>IF(ISNUMBER(X12),X12," - ")</f>
        <v>119</v>
      </c>
      <c r="BD12" s="126">
        <f t="shared" si="2"/>
        <v>0.91366906474820142</v>
      </c>
      <c r="BE12" s="127">
        <f t="shared" si="3"/>
        <v>1.9015748031496063</v>
      </c>
      <c r="BF12" s="127">
        <f t="shared" si="4"/>
        <v>0.46850393700787402</v>
      </c>
      <c r="BG12" s="199">
        <f t="shared" si="5"/>
        <v>2.9015748031496065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585</v>
      </c>
      <c r="J13" s="187">
        <f t="shared" si="6"/>
        <v>275</v>
      </c>
      <c r="K13" s="187">
        <f t="shared" si="6"/>
        <v>254</v>
      </c>
      <c r="L13" s="187">
        <f t="shared" si="6"/>
        <v>606</v>
      </c>
      <c r="M13" s="187">
        <f t="shared" si="6"/>
        <v>97</v>
      </c>
      <c r="N13" s="187">
        <f t="shared" si="6"/>
        <v>136</v>
      </c>
      <c r="O13" s="187">
        <f t="shared" si="6"/>
        <v>61</v>
      </c>
      <c r="P13" s="187">
        <f t="shared" si="6"/>
        <v>59</v>
      </c>
      <c r="Q13" s="187">
        <f t="shared" si="6"/>
        <v>39</v>
      </c>
      <c r="R13" s="187">
        <f t="shared" si="6"/>
        <v>834</v>
      </c>
      <c r="S13" s="187">
        <f t="shared" si="6"/>
        <v>426</v>
      </c>
      <c r="T13" s="187">
        <f t="shared" si="6"/>
        <v>249</v>
      </c>
      <c r="U13" s="187">
        <f t="shared" si="6"/>
        <v>229</v>
      </c>
      <c r="V13" s="187">
        <f t="shared" si="6"/>
        <v>446</v>
      </c>
      <c r="W13" s="187">
        <f t="shared" si="6"/>
        <v>88</v>
      </c>
      <c r="X13" s="187">
        <f t="shared" si="6"/>
        <v>119</v>
      </c>
      <c r="Y13" s="187">
        <f t="shared" si="6"/>
        <v>38</v>
      </c>
      <c r="Z13" s="187">
        <f t="shared" si="6"/>
        <v>26</v>
      </c>
      <c r="AA13" s="187">
        <f t="shared" si="6"/>
        <v>30</v>
      </c>
      <c r="AB13" s="187">
        <f t="shared" si="6"/>
        <v>34</v>
      </c>
      <c r="AC13" s="187">
        <f t="shared" si="6"/>
        <v>0</v>
      </c>
      <c r="AD13" s="187">
        <f t="shared" si="6"/>
        <v>0</v>
      </c>
      <c r="AE13" s="187">
        <f t="shared" si="6"/>
        <v>0</v>
      </c>
      <c r="AF13" s="187">
        <f>SUBTOTAL(9,AF9:AF12)</f>
        <v>0</v>
      </c>
      <c r="AG13" s="187">
        <f t="shared" ref="AG13:AT13" si="7">SUBTOTAL(9,AG8:AG12)</f>
        <v>33</v>
      </c>
      <c r="AH13" s="187">
        <f t="shared" si="7"/>
        <v>29</v>
      </c>
      <c r="AI13" s="187">
        <f t="shared" si="7"/>
        <v>25</v>
      </c>
      <c r="AJ13" s="187">
        <f t="shared" si="7"/>
        <v>37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459</v>
      </c>
      <c r="AZ13" s="187">
        <f>SUBTOTAL(9,AZ8:AZ12)</f>
        <v>278</v>
      </c>
      <c r="BA13" s="187">
        <f>SUBTOTAL(9,BA8:BA12)</f>
        <v>254</v>
      </c>
      <c r="BB13" s="187">
        <f>SUBTOTAL(9,BB8:BB12)</f>
        <v>483</v>
      </c>
      <c r="BC13" s="187">
        <f>SUBTOTAL(9,BC8:BC12)</f>
        <v>119</v>
      </c>
      <c r="BD13" s="208">
        <f>IF(ISNUMBER(BA13/AZ13),BA13/AZ13," - ")</f>
        <v>0.91366906474820142</v>
      </c>
      <c r="BE13" s="209">
        <f>IF(ISNUMBER(BB13/BA13),BB13/BA13, " - ")</f>
        <v>1.9015748031496063</v>
      </c>
      <c r="BF13" s="209">
        <f>IF(ISNUMBER(BC13/BA13),BC13/BA13, " - ")</f>
        <v>0.46850393700787402</v>
      </c>
      <c r="BG13" s="210">
        <f>IF(ISNUMBER((AY13+AZ13)/BA13),(AY13+AZ13)/BA13," - ")</f>
        <v>2.9015748031496065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293</v>
      </c>
      <c r="J16" s="186">
        <v>159</v>
      </c>
      <c r="K16" s="186">
        <v>123</v>
      </c>
      <c r="L16" s="186">
        <v>329</v>
      </c>
      <c r="M16" s="186">
        <v>23</v>
      </c>
      <c r="N16" s="186">
        <v>66</v>
      </c>
      <c r="O16" s="184">
        <v>0</v>
      </c>
      <c r="P16" s="186">
        <v>7</v>
      </c>
      <c r="Q16" s="186">
        <v>5</v>
      </c>
      <c r="R16" s="186">
        <v>17</v>
      </c>
      <c r="S16" s="186">
        <v>288</v>
      </c>
      <c r="T16" s="186">
        <v>172</v>
      </c>
      <c r="U16" s="186">
        <v>166</v>
      </c>
      <c r="V16" s="186">
        <v>294</v>
      </c>
      <c r="W16" s="186">
        <v>31</v>
      </c>
      <c r="X16" s="192">
        <v>93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288</v>
      </c>
      <c r="AZ16" s="127">
        <f t="shared" si="9"/>
        <v>172</v>
      </c>
      <c r="BA16" s="127">
        <f t="shared" si="9"/>
        <v>166</v>
      </c>
      <c r="BB16" s="127">
        <f t="shared" si="9"/>
        <v>294</v>
      </c>
      <c r="BC16" s="125">
        <f>IF(ISNUMBER(W16),W16," - ")</f>
        <v>31</v>
      </c>
      <c r="BD16" s="126">
        <f t="shared" ref="BD16" si="11">IF(ISNUMBER(BA16/AZ16),BA16/AZ16," - ")</f>
        <v>0.96511627906976749</v>
      </c>
      <c r="BE16" s="127">
        <f t="shared" ref="BE16" si="12">IF(ISNUMBER(BB16/BA16),BB16/BA16, " - ")</f>
        <v>1.7710843373493976</v>
      </c>
      <c r="BF16" s="127">
        <f t="shared" ref="BF16" si="13">IF(ISNUMBER(BC16/BA16),BC16/BA16, " - ")</f>
        <v>0.18674698795180722</v>
      </c>
      <c r="BG16" s="199">
        <f t="shared" si="10"/>
        <v>2.7710843373493974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v>
      </c>
      <c r="J17" s="186">
        <v>17</v>
      </c>
      <c r="K17" s="186">
        <v>12</v>
      </c>
      <c r="L17" s="186">
        <v>31</v>
      </c>
      <c r="M17" s="186">
        <v>1</v>
      </c>
      <c r="N17" s="186">
        <v>10</v>
      </c>
      <c r="O17" s="186">
        <v>0</v>
      </c>
      <c r="P17" s="186">
        <v>0</v>
      </c>
      <c r="Q17" s="186">
        <v>0</v>
      </c>
      <c r="R17" s="186">
        <v>0</v>
      </c>
      <c r="S17" s="186">
        <v>29</v>
      </c>
      <c r="T17" s="186">
        <v>13</v>
      </c>
      <c r="U17" s="186">
        <v>10</v>
      </c>
      <c r="V17" s="186">
        <v>32</v>
      </c>
      <c r="W17" s="186">
        <v>0</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29</v>
      </c>
      <c r="AZ17" s="129">
        <f t="shared" si="14"/>
        <v>13</v>
      </c>
      <c r="BA17" s="129">
        <f t="shared" si="14"/>
        <v>10</v>
      </c>
      <c r="BB17" s="129">
        <f t="shared" si="14"/>
        <v>32</v>
      </c>
      <c r="BC17" s="125">
        <f>IF(ISNUMBER(W17),W17," - ")</f>
        <v>0</v>
      </c>
      <c r="BD17" s="126">
        <f>IF(ISNUMBER(BA17/AZ17),BA17/AZ17," - ")</f>
        <v>0.76923076923076927</v>
      </c>
      <c r="BE17" s="127">
        <f>IF(ISNUMBER(BB17/BA17),BB17/BA17, " - ")</f>
        <v>3.2</v>
      </c>
      <c r="BF17" s="127">
        <f>IF(ISNUMBER(BC17/BA17),BC17/BA17, " - ")</f>
        <v>0</v>
      </c>
      <c r="BG17" s="199">
        <f>IF(ISNUMBER((AY17+AZ17)/BA17),(AY17+AZ17)/BA17," - ")</f>
        <v>4.2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318</v>
      </c>
      <c r="J18" s="187">
        <f t="shared" si="15"/>
        <v>176</v>
      </c>
      <c r="K18" s="187">
        <f t="shared" si="15"/>
        <v>135</v>
      </c>
      <c r="L18" s="187">
        <f t="shared" si="15"/>
        <v>360</v>
      </c>
      <c r="M18" s="187">
        <f t="shared" si="15"/>
        <v>24</v>
      </c>
      <c r="N18" s="187">
        <f t="shared" si="15"/>
        <v>76</v>
      </c>
      <c r="O18" s="187">
        <f t="shared" si="15"/>
        <v>0</v>
      </c>
      <c r="P18" s="187">
        <f t="shared" si="15"/>
        <v>7</v>
      </c>
      <c r="Q18" s="187">
        <f t="shared" si="15"/>
        <v>5</v>
      </c>
      <c r="R18" s="187">
        <f t="shared" si="15"/>
        <v>17</v>
      </c>
      <c r="S18" s="187">
        <f t="shared" si="15"/>
        <v>317</v>
      </c>
      <c r="T18" s="187">
        <f t="shared" si="15"/>
        <v>185</v>
      </c>
      <c r="U18" s="187">
        <f t="shared" si="15"/>
        <v>176</v>
      </c>
      <c r="V18" s="187">
        <f t="shared" si="15"/>
        <v>326</v>
      </c>
      <c r="W18" s="187">
        <f t="shared" si="15"/>
        <v>31</v>
      </c>
      <c r="X18" s="187">
        <f t="shared" si="15"/>
        <v>107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317</v>
      </c>
      <c r="AZ18" s="187">
        <f>SUBTOTAL(9,AZ14:AZ17)</f>
        <v>185</v>
      </c>
      <c r="BA18" s="187">
        <f>SUBTOTAL(9,BA14:BA17)</f>
        <v>176</v>
      </c>
      <c r="BB18" s="187">
        <f>SUBTOTAL(9,BB14:BB17)</f>
        <v>326</v>
      </c>
      <c r="BC18" s="187">
        <f>SUBTOTAL(9,BC14:BC17)</f>
        <v>31</v>
      </c>
      <c r="BD18" s="208">
        <f>IF(ISNUMBER(BA18/AZ18),BA18/AZ18," - ")</f>
        <v>0.9513513513513514</v>
      </c>
      <c r="BE18" s="209">
        <f>IF(ISNUMBER(BB18/BA18),BB18/BA18, " - ")</f>
        <v>1.8522727272727273</v>
      </c>
      <c r="BF18" s="209">
        <f>IF(ISNUMBER(BC18/BA18),BC18/BA18, " - ")</f>
        <v>0.17613636363636365</v>
      </c>
      <c r="BG18" s="210">
        <f>IF(ISNUMBER((AY18+AZ18)/BA18),(AY18+AZ18)/BA18," - ")</f>
        <v>2.8522727272727271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903</v>
      </c>
      <c r="J19" s="134">
        <f t="shared" si="18"/>
        <v>451</v>
      </c>
      <c r="K19" s="134">
        <f t="shared" si="18"/>
        <v>389</v>
      </c>
      <c r="L19" s="134">
        <f t="shared" si="18"/>
        <v>966</v>
      </c>
      <c r="M19" s="134">
        <f t="shared" si="18"/>
        <v>121</v>
      </c>
      <c r="N19" s="134">
        <f t="shared" si="18"/>
        <v>212</v>
      </c>
      <c r="O19" s="134">
        <f t="shared" si="18"/>
        <v>61</v>
      </c>
      <c r="P19" s="134">
        <f t="shared" si="18"/>
        <v>66</v>
      </c>
      <c r="Q19" s="134">
        <f t="shared" si="18"/>
        <v>44</v>
      </c>
      <c r="R19" s="134">
        <f t="shared" si="18"/>
        <v>851</v>
      </c>
      <c r="S19" s="134">
        <f t="shared" si="18"/>
        <v>743</v>
      </c>
      <c r="T19" s="134">
        <f t="shared" si="18"/>
        <v>434</v>
      </c>
      <c r="U19" s="134">
        <f t="shared" si="18"/>
        <v>405</v>
      </c>
      <c r="V19" s="134">
        <f t="shared" si="18"/>
        <v>772</v>
      </c>
      <c r="W19" s="134">
        <f t="shared" si="18"/>
        <v>119</v>
      </c>
      <c r="X19" s="134">
        <f t="shared" si="18"/>
        <v>226</v>
      </c>
      <c r="Y19" s="134">
        <f t="shared" si="18"/>
        <v>38</v>
      </c>
      <c r="Z19" s="134">
        <f t="shared" si="18"/>
        <v>26</v>
      </c>
      <c r="AA19" s="134">
        <f t="shared" si="18"/>
        <v>30</v>
      </c>
      <c r="AB19" s="134">
        <f t="shared" si="18"/>
        <v>34</v>
      </c>
      <c r="AC19" s="134">
        <f t="shared" si="18"/>
        <v>0</v>
      </c>
      <c r="AD19" s="134">
        <f t="shared" si="18"/>
        <v>0</v>
      </c>
      <c r="AE19" s="134">
        <f t="shared" si="18"/>
        <v>0</v>
      </c>
      <c r="AF19" s="134">
        <f t="shared" si="18"/>
        <v>0</v>
      </c>
      <c r="AG19" s="134">
        <f t="shared" si="18"/>
        <v>33</v>
      </c>
      <c r="AH19" s="134">
        <f t="shared" si="18"/>
        <v>29</v>
      </c>
      <c r="AI19" s="134">
        <f t="shared" si="18"/>
        <v>25</v>
      </c>
      <c r="AJ19" s="134">
        <f t="shared" si="18"/>
        <v>37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776</v>
      </c>
      <c r="AZ19" s="134">
        <f>SUBTOTAL(9,AZ9:AZ18)</f>
        <v>463</v>
      </c>
      <c r="BA19" s="134">
        <f>SUBTOTAL(9,BA9:BA18)</f>
        <v>430</v>
      </c>
      <c r="BB19" s="134">
        <f>SUBTOTAL(9,BB9:BB18)</f>
        <v>809</v>
      </c>
      <c r="BC19" s="135">
        <f>SUBTOTAL(9,BC9:BC18)</f>
        <v>150</v>
      </c>
      <c r="BD19" s="216">
        <f>IF(ISNUMBER(BA19/AZ19),BA19/AZ19," - ")</f>
        <v>0.92872570194384452</v>
      </c>
      <c r="BE19" s="213">
        <f>IF(ISNUMBER(BB19/BA19),BB19/BA19, " - ")</f>
        <v>1.8813953488372093</v>
      </c>
      <c r="BF19" s="213">
        <f>IF(ISNUMBER(BC19/BA19),BC19/BA19, " - ")</f>
        <v>0.34883720930232559</v>
      </c>
      <c r="BG19" s="135">
        <f>IF(ISNUMBER((AY19+AZ19)/BA19),(AY19+AZ19)/BA19," - ")</f>
        <v>2.8813953488372093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UlBkNBW+XcZoGSVNX8P/rjfxUwZAzNfn5rw/qgOd4M4PX8FTl0qWo4uIljmCF7P4Swhhqz7PpiLLGSi54R6kw==" saltValue="+z0pWCs+VSzI+1z6KEtK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q9LcbWd9u0NYEutlbgP5BOTsTSrSDjBiBkGO8sNXLZYLoznZLikD02UimE2syftqytuoPUCd8tBdK5RkUEKfg==" saltValue="+tUP3pjTWBslkI3rhZKX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VILALBA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59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834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v>
      </c>
      <c r="BD12" s="232">
        <f>IF(ISNUMBER(Datos!N12),Datos!N12," - ")</f>
        <v>136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0.94352159468438535</v>
      </c>
      <c r="BH12" s="263">
        <f>IF(ISNUMBER(((IF(J_V="SI",Datos!L12/Datos!K12,(Datos!L12+Datos!AB12)/(Datos!K12+Datos!AA12)))*11)/factor_trimestre),((IF(J_V="SI",Datos!L12/Datos!K12,(Datos!L12+Datos!AB12)/(Datos!K12+Datos!AA12)))*11)/factor_trimestre," - ")</f>
        <v>6.7605633802816909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2.4570024570024569E-2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39</v>
      </c>
      <c r="AD13" s="902">
        <f t="shared" si="1"/>
        <v>0</v>
      </c>
      <c r="AE13" s="902">
        <f t="shared" si="1"/>
        <v>0</v>
      </c>
      <c r="AF13" s="902">
        <f t="shared" si="1"/>
        <v>0</v>
      </c>
      <c r="AG13" s="902">
        <f t="shared" si="1"/>
        <v>0</v>
      </c>
      <c r="AH13" s="902">
        <f t="shared" si="1"/>
        <v>34</v>
      </c>
      <c r="AI13" s="902">
        <f t="shared" si="1"/>
        <v>0</v>
      </c>
      <c r="AJ13" s="902">
        <f t="shared" si="1"/>
        <v>0</v>
      </c>
      <c r="AK13" s="902">
        <f t="shared" si="1"/>
        <v>0</v>
      </c>
      <c r="AL13" s="902">
        <f t="shared" si="1"/>
        <v>0</v>
      </c>
      <c r="AM13" s="902">
        <f t="shared" si="1"/>
        <v>834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97</v>
      </c>
      <c r="BD13" s="902">
        <f t="shared" si="1"/>
        <v>136</v>
      </c>
      <c r="BE13" s="902">
        <f t="shared" si="1"/>
        <v>0</v>
      </c>
      <c r="BF13" s="902">
        <f t="shared" si="1"/>
        <v>0</v>
      </c>
      <c r="BG13" s="902">
        <f>IF(ISNUMBER(Datos!K13/Datos!J13),Datos!K13/Datos!J13," - ")</f>
        <v>0.92363636363636359</v>
      </c>
      <c r="BH13" s="906">
        <f>IF(ISNUMBER(((Datos!L13/Datos!K13)*11)/factor_trimestre),((Datos!L13/Datos!K13)*11)/factor_trimestre," - ")</f>
        <v>7.1574803149606305</v>
      </c>
      <c r="BI13" s="902">
        <f>IF(ISNUMBER('Resol  Asuntos'!D13/NºAsuntos!G13),'Resol  Asuntos'!D13/NºAsuntos!G13," - ")</f>
        <v>0.34154929577464788</v>
      </c>
      <c r="BJ13" s="902" t="str">
        <f>IF(ISNUMBER(Datos!CI13/Datos!CJ13),Datos!CI13/Datos!CJ13," - ")</f>
        <v xml:space="preserve"> - </v>
      </c>
      <c r="BK13" s="902">
        <f>SUBTOTAL(9,BK8:BK12)</f>
        <v>0</v>
      </c>
      <c r="BL13" s="902" t="str">
        <f>IF(ISNUMBER((I13-AB13+L13)/(F13)),(I13-AB13+L13)/(F13)," - ")</f>
        <v xml:space="preserve"> - </v>
      </c>
      <c r="BM13" s="907">
        <f>SUBTOTAL(9,BM9:BM12)</f>
        <v>2.4570024570024569E-2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293</v>
      </c>
      <c r="G16" s="601">
        <f>IF(ISNUMBER(IF(D_I="SI",Datos!I16,Datos!I16+Datos!AC16)),IF(D_I="SI",Datos!I16,Datos!I16+Datos!AC16)," - ")</f>
        <v>293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123</v>
      </c>
      <c r="AC16" s="229">
        <f>IF(ISNUMBER(Datos!Q16),Datos!Q16," - ")</f>
        <v>5</v>
      </c>
      <c r="AD16" s="337"/>
      <c r="AE16" s="487"/>
      <c r="AF16" s="599">
        <f>IF(ISNUMBER(IF(D_I="SI",Datos!L16,Datos!L16+Datos!AF16)),IF(D_I="SI",Datos!L16,Datos!L16+Datos!AF16)," - ")</f>
        <v>329</v>
      </c>
      <c r="AG16" s="337"/>
      <c r="AH16" s="337"/>
      <c r="AI16" s="337"/>
      <c r="AJ16" s="337"/>
      <c r="AK16" s="337"/>
      <c r="AL16" s="482"/>
      <c r="AM16" s="338">
        <f>IF(ISNUMBER(Datos!R16),Datos!R16," - ")</f>
        <v>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v>
      </c>
      <c r="BD16" s="232">
        <f>IF(ISNUMBER(Datos!N16),Datos!N16," - ")</f>
        <v>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0.77358490566037741</v>
      </c>
      <c r="BH16" s="263">
        <f>IF(ISNUMBER(((IF(D_I="SI",Datos!L16/Datos!K16,(Datos!L16+Datos!AF16)/(Datos!K16+Datos!AE16)))*11)/factor_trimestre),((IF(D_I="SI",Datos!L16/Datos!K16,(Datos!L16+Datos!AF16)/(Datos!K16+Datos!AE16)))*11)/factor_trimestre," - ")</f>
        <v>8.0243902439024399</v>
      </c>
      <c r="BI16" s="246">
        <f>IF(ISNUMBER('Resol  Asuntos'!D16/NºAsuntos!G16),'Resol  Asuntos'!D16/NºAsuntos!G16," - ")</f>
        <v>0.18699186991869918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0.70588235294117652</v>
      </c>
      <c r="BH17" s="263">
        <f>IF(ISNUMBER(((IF(D_I="SI",Datos!L17/Datos!K17,(Datos!L17+Datos!AF17)/(Datos!K17+Datos!AE17)))*11)/factor_trimestre),((IF(D_I="SI",Datos!L17/Datos!K17,(Datos!L17+Datos!AF17)/(Datos!K17+Datos!AE17)))*11)/factor_trimestre," - ")</f>
        <v>7.7500000000000009</v>
      </c>
      <c r="BI17" s="246">
        <f>IF(ISNUMBER('Resol  Asuntos'!D17/NºAsuntos!G17),'Resol  Asuntos'!D17/NºAsuntos!G17," - ")</f>
        <v>8.3333333333333329E-2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293</v>
      </c>
      <c r="G18" s="901">
        <f>SUBTOTAL(9,G15:G17)</f>
        <v>318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135</v>
      </c>
      <c r="AC18" s="902">
        <f t="shared" si="4"/>
        <v>5</v>
      </c>
      <c r="AD18" s="902">
        <f t="shared" si="4"/>
        <v>0</v>
      </c>
      <c r="AE18" s="902">
        <f t="shared" si="4"/>
        <v>0</v>
      </c>
      <c r="AF18" s="902">
        <f t="shared" si="4"/>
        <v>360</v>
      </c>
      <c r="AG18" s="902">
        <f t="shared" si="4"/>
        <v>0</v>
      </c>
      <c r="AH18" s="902">
        <f t="shared" si="4"/>
        <v>0</v>
      </c>
      <c r="AI18" s="902">
        <f t="shared" si="4"/>
        <v>0</v>
      </c>
      <c r="AJ18" s="902">
        <f t="shared" si="4"/>
        <v>0</v>
      </c>
      <c r="AK18" s="902">
        <f t="shared" si="4"/>
        <v>0</v>
      </c>
      <c r="AL18" s="902">
        <f t="shared" si="4"/>
        <v>0</v>
      </c>
      <c r="AM18" s="902">
        <f t="shared" si="4"/>
        <v>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v>
      </c>
      <c r="BD18" s="902">
        <f t="shared" si="4"/>
        <v>76</v>
      </c>
      <c r="BE18" s="902">
        <f t="shared" si="4"/>
        <v>0</v>
      </c>
      <c r="BF18" s="902">
        <f t="shared" si="4"/>
        <v>0</v>
      </c>
      <c r="BG18" s="902">
        <f>IF(ISNUMBER(Datos!K18/Datos!J18),Datos!K18/Datos!J18," - ")</f>
        <v>0.76704545454545459</v>
      </c>
      <c r="BH18" s="906">
        <f>IF(ISNUMBER(((Datos!L18/Datos!K18)*11)/factor_trimestre),((Datos!L18/Datos!K18)*11)/factor_trimestre," - ")</f>
        <v>8</v>
      </c>
      <c r="BI18" s="902">
        <f>SUBTOTAL(9,BI15:BI17)</f>
        <v>0.27032520325203252</v>
      </c>
      <c r="BJ18" s="902">
        <f>SUBTOTAL(9,BJ15:BJ17)</f>
        <v>0</v>
      </c>
      <c r="BK18" s="902">
        <f>SUBTOTAL(9,BK15:BK17)</f>
        <v>0</v>
      </c>
      <c r="BL18" s="902">
        <f>IF(ISNUMBER((I18-AB18+L18)/(F18)),(I18-AB18+L18)/(F18)," - ")</f>
        <v>-0.46075085324232085</v>
      </c>
      <c r="BM18" s="908">
        <f>IF(ISNUMBER((Datos!P18-Datos!Q18)/(Datos!R18-Datos!P18+Datos!Q18)),(Datos!P18-Datos!Q18)/(Datos!R18-Datos!P18+Datos!Q18)," - ")</f>
        <v>0.13333333333333333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293</v>
      </c>
      <c r="G19" s="823">
        <f t="shared" si="6"/>
        <v>318</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135</v>
      </c>
      <c r="AC19" s="824">
        <f t="shared" si="7"/>
        <v>44</v>
      </c>
      <c r="AD19" s="824">
        <f t="shared" si="7"/>
        <v>0</v>
      </c>
      <c r="AE19" s="824">
        <f t="shared" si="7"/>
        <v>0</v>
      </c>
      <c r="AF19" s="831">
        <f t="shared" si="7"/>
        <v>360</v>
      </c>
      <c r="AG19" s="831">
        <f t="shared" si="7"/>
        <v>0</v>
      </c>
      <c r="AH19" s="831">
        <f t="shared" si="7"/>
        <v>34</v>
      </c>
      <c r="AI19" s="831">
        <f t="shared" si="7"/>
        <v>0</v>
      </c>
      <c r="AJ19" s="824">
        <f t="shared" si="7"/>
        <v>0</v>
      </c>
      <c r="AK19" s="831">
        <f t="shared" si="7"/>
        <v>0</v>
      </c>
      <c r="AL19" s="831">
        <f t="shared" si="7"/>
        <v>0</v>
      </c>
      <c r="AM19" s="831">
        <f t="shared" si="7"/>
        <v>851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121</v>
      </c>
      <c r="BD19" s="823">
        <f t="shared" si="7"/>
        <v>212</v>
      </c>
      <c r="BE19" s="823">
        <f t="shared" si="7"/>
        <v>0</v>
      </c>
      <c r="BF19" s="833">
        <f t="shared" si="7"/>
        <v>0</v>
      </c>
      <c r="BG19" s="918">
        <f>IF(ISNUMBER(Datos!K19/Datos!J19),Datos!K19/Datos!J19," - ")</f>
        <v>0.86252771618625279</v>
      </c>
      <c r="BH19" s="918">
        <f>IF(ISNUMBER(((Datos!L19/Datos!K19)*11)/factor_trimestre),((Datos!L19/Datos!K19)*11)/factor_trimestre," - ")</f>
        <v>7.4498714652956295</v>
      </c>
      <c r="BI19" s="816">
        <f>IF(ISNUMBER(Datos!J19/Datos!I19),Datos!J19/Datos!I19," - ")</f>
        <v>0.49944629014396458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-0.46075085324232085</v>
      </c>
      <c r="BM19" s="892">
        <f>IF(ISNUMBER((Datos!P19-Datos!Q19+R19)/(Datos!R19-Datos!P19+Datos!Q19-R19)),(Datos!P19-Datos!Q19+R19)/(Datos!R19-Datos!P19+Datos!Q19-R19)," - ")</f>
        <v>2.6537997587454766E-2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169.16362887256034</v>
      </c>
      <c r="G21" s="555">
        <f>IF(ISNUMBER(STDEV(G8:G18)),STDEV(G8:G18),"-")</f>
        <v>163.32391129286611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68.771360318085897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45.085104709500975</v>
      </c>
      <c r="BD21" s="554"/>
      <c r="BE21" s="554">
        <f>IF(ISNUMBER(STDEV(BE8:BE18)),STDEV(BE8:BE18),"-")</f>
        <v>0</v>
      </c>
      <c r="BF21" s="559">
        <f>IF(ISNUMBER(STDEV(BF8:BF18)),STDEV(BF8:BF18),"-")</f>
        <v>0</v>
      </c>
      <c r="BG21" s="778">
        <f>IF(ISNUMBER(STDEV(BG8:BG18)),STDEV(BG8:BG18),"-")</f>
        <v>0.10481183736411002</v>
      </c>
      <c r="BH21" s="779">
        <f>IF(ISNUMBER(STDEV(BH8:BH18)),STDEV(BH8:BH18),"-")</f>
        <v>0.5577107702324331</v>
      </c>
      <c r="BI21" s="252">
        <f>IF(ISNUMBER(STDEV(BI8:BI18)),STDEV(BI8:BI18),"-")</f>
        <v>0.11116498570800717</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jcpb8xwjWAbz0OZVEj9NrgyGD/wvLprl+E0ND/4FvBuNRZhLjIY+tWPdXUHe0C082Sae2LWbLrJfpWbtwoANg==" saltValue="HwKMiAQN2hZLNUzDudAn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VILALBA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v>
      </c>
      <c r="AA12" s="335" t="str">
        <f>IF(ISNUMBER(IF(J_V="SI",Datos!L12,Datos!L12+Datos!AB12)-IF(Monitorios="SI",Datos!CD12,0)),
                          IF(J_V="SI",Datos!L12,Datos!L12+Datos!AB12)-IF(Monitorios="SI",Datos!CD12,0),
                          " - ")</f>
        <v xml:space="preserve"> - </v>
      </c>
      <c r="AB12" s="337"/>
      <c r="AC12" s="337"/>
      <c r="AD12" s="487"/>
      <c r="AE12" s="487">
        <f>IF(ISNUMBER(Datos!R12),Datos!R12," - ")</f>
        <v>834</v>
      </c>
      <c r="AF12" s="232" t="str">
        <f>IF(ISNUMBER(Datos!BV12),Datos!BV12," - ")</f>
        <v xml:space="preserve"> - </v>
      </c>
      <c r="AG12" s="228" t="str">
        <f>IF(ISNUMBER(Datos!DV12),Datos!DV12," - ")</f>
        <v xml:space="preserve"> - </v>
      </c>
      <c r="AH12" s="301"/>
      <c r="AI12" s="230"/>
      <c r="AJ12" s="228">
        <f>IF(ISNUMBER(Datos!M12),Datos!M12," - ")</f>
        <v>97</v>
      </c>
      <c r="AK12" s="232">
        <f>IF(ISNUMBER(Datos!N12),Datos!N12," - ")</f>
        <v>136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6.7605633802816909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2.4570024570024569E-2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39</v>
      </c>
      <c r="AA13" s="903">
        <f t="shared" si="2"/>
        <v>0</v>
      </c>
      <c r="AB13" s="903">
        <f t="shared" si="2"/>
        <v>0</v>
      </c>
      <c r="AC13" s="903">
        <f t="shared" si="2"/>
        <v>0</v>
      </c>
      <c r="AD13" s="903">
        <f t="shared" si="2"/>
        <v>0</v>
      </c>
      <c r="AE13" s="903">
        <f t="shared" si="2"/>
        <v>834</v>
      </c>
      <c r="AF13" s="911">
        <f t="shared" si="2"/>
        <v>0</v>
      </c>
      <c r="AG13" s="911">
        <f t="shared" si="2"/>
        <v>0</v>
      </c>
      <c r="AH13" s="911">
        <f t="shared" si="2"/>
        <v>0</v>
      </c>
      <c r="AI13" s="911">
        <f t="shared" si="2"/>
        <v>0</v>
      </c>
      <c r="AJ13" s="911">
        <f t="shared" si="2"/>
        <v>97</v>
      </c>
      <c r="AK13" s="911">
        <f t="shared" si="2"/>
        <v>136</v>
      </c>
      <c r="AL13" s="911">
        <f t="shared" si="2"/>
        <v>0</v>
      </c>
      <c r="AM13" s="911">
        <f t="shared" si="2"/>
        <v>0</v>
      </c>
      <c r="AN13" s="911">
        <f t="shared" si="2"/>
        <v>0</v>
      </c>
      <c r="AO13" s="907">
        <f>IF(ISNUMBER(((NºAsuntos!I13/NºAsuntos!G13)*11)/factor_trimestre),((NºAsuntos!I13/NºAsuntos!G13)*11)/factor_trimestre," - ")</f>
        <v>6.7605633802816909</v>
      </c>
      <c r="AP13" s="913" t="str">
        <f>IF(ISNUMBER(Datos!CI13/Datos!CJ13),Datos!CI13/Datos!CJ13," - ")</f>
        <v xml:space="preserve"> - </v>
      </c>
      <c r="AQ13" s="931">
        <f t="shared" ref="AQ13:AV13" si="3">SUBTOTAL(9,AQ9:AQ12)</f>
        <v>0</v>
      </c>
      <c r="AR13" s="931">
        <f t="shared" si="3"/>
        <v>2.4570024570024569E-2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293</v>
      </c>
      <c r="G16" s="228">
        <f>IF(ISNUMBER(IF(D_I="SI",Datos!I16,Datos!I16+Datos!AC16)),IF(D_I="SI",Datos!I16,Datos!I16+Datos!AC16)," - ")</f>
        <v>293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123</v>
      </c>
      <c r="Z16" s="622">
        <f>IF(ISNUMBER(Datos!Q16),Datos!Q16," - ")</f>
        <v>5</v>
      </c>
      <c r="AA16" s="335">
        <f>IF(ISNUMBER(IF(D_I="SI",Datos!L16,Datos!L16+Datos!AF16)),IF(D_I="SI",Datos!L16,Datos!L16+Datos!AF16)," - ")</f>
        <v>329</v>
      </c>
      <c r="AB16" s="337"/>
      <c r="AC16" s="337"/>
      <c r="AD16" s="487"/>
      <c r="AE16" s="487">
        <f>IF(ISNUMBER(Datos!R16),Datos!R16," - ")</f>
        <v>17</v>
      </c>
      <c r="AF16" s="232" t="str">
        <f>IF(ISNUMBER(Datos!BV16),Datos!BV16," - ")</f>
        <v xml:space="preserve"> - </v>
      </c>
      <c r="AG16" s="228"/>
      <c r="AH16" s="301"/>
      <c r="AI16" s="230"/>
      <c r="AJ16" s="228">
        <f>IF(ISNUMBER(Datos!M16),Datos!M16," - ")</f>
        <v>23</v>
      </c>
      <c r="AK16" s="232">
        <f>IF(ISNUMBER(Datos!N16),Datos!N16," - ")</f>
        <v>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8.0243902439024399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7.7500000000000009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293</v>
      </c>
      <c r="G18" s="901">
        <f>SUBTOTAL(9,G15:G17)</f>
        <v>318</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135</v>
      </c>
      <c r="Z18" s="935">
        <f t="shared" si="5"/>
        <v>5</v>
      </c>
      <c r="AA18" s="935">
        <f t="shared" si="5"/>
        <v>360</v>
      </c>
      <c r="AB18" s="935">
        <f t="shared" si="5"/>
        <v>0</v>
      </c>
      <c r="AC18" s="935">
        <f t="shared" si="5"/>
        <v>0</v>
      </c>
      <c r="AD18" s="935">
        <f t="shared" si="5"/>
        <v>0</v>
      </c>
      <c r="AE18" s="935">
        <f t="shared" si="5"/>
        <v>17</v>
      </c>
      <c r="AF18" s="935">
        <f t="shared" si="5"/>
        <v>0</v>
      </c>
      <c r="AG18" s="935">
        <f t="shared" si="5"/>
        <v>0</v>
      </c>
      <c r="AH18" s="935">
        <f t="shared" si="5"/>
        <v>0</v>
      </c>
      <c r="AI18" s="935">
        <f t="shared" si="5"/>
        <v>0</v>
      </c>
      <c r="AJ18" s="935">
        <f t="shared" si="5"/>
        <v>24</v>
      </c>
      <c r="AK18" s="935">
        <f t="shared" si="5"/>
        <v>76</v>
      </c>
      <c r="AL18" s="935">
        <f t="shared" si="5"/>
        <v>0</v>
      </c>
      <c r="AM18" s="935">
        <f t="shared" si="5"/>
        <v>0</v>
      </c>
      <c r="AN18" s="935">
        <f t="shared" si="5"/>
        <v>0</v>
      </c>
      <c r="AO18" s="937">
        <f>IF(ISNUMBER(((NºAsuntos!I18/NºAsuntos!G18)*11)/factor_trimestre),((NºAsuntos!I18/NºAsuntos!G18)*11)/factor_trimestre," - ")</f>
        <v>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293</v>
      </c>
      <c r="G19" s="823">
        <f t="shared" si="7"/>
        <v>318</v>
      </c>
      <c r="H19" s="824">
        <f t="shared" si="7"/>
        <v>0</v>
      </c>
      <c r="I19" s="823">
        <f t="shared" si="7"/>
        <v>0</v>
      </c>
      <c r="J19" s="825">
        <f t="shared" si="7"/>
        <v>0</v>
      </c>
      <c r="K19" s="823">
        <f t="shared" si="7"/>
        <v>0</v>
      </c>
      <c r="L19" s="826">
        <f t="shared" si="7"/>
        <v>0</v>
      </c>
      <c r="M19" s="823">
        <f t="shared" si="7"/>
        <v>0</v>
      </c>
      <c r="N19" s="824">
        <f t="shared" si="7"/>
        <v>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135</v>
      </c>
      <c r="Z19" s="830">
        <f t="shared" si="8"/>
        <v>44</v>
      </c>
      <c r="AA19" s="831">
        <f t="shared" si="8"/>
        <v>360</v>
      </c>
      <c r="AB19" s="831">
        <f t="shared" si="8"/>
        <v>0</v>
      </c>
      <c r="AC19" s="831">
        <f t="shared" si="8"/>
        <v>0</v>
      </c>
      <c r="AD19" s="832">
        <f t="shared" si="8"/>
        <v>0</v>
      </c>
      <c r="AE19" s="832">
        <f t="shared" si="8"/>
        <v>851</v>
      </c>
      <c r="AF19" s="833">
        <f t="shared" si="8"/>
        <v>0</v>
      </c>
      <c r="AG19" s="834">
        <f t="shared" si="8"/>
        <v>0</v>
      </c>
      <c r="AH19" s="835">
        <f t="shared" si="8"/>
        <v>0</v>
      </c>
      <c r="AI19" s="833">
        <f t="shared" si="8"/>
        <v>0</v>
      </c>
      <c r="AJ19" s="823">
        <f t="shared" si="8"/>
        <v>121</v>
      </c>
      <c r="AK19" s="823">
        <f t="shared" si="8"/>
        <v>212</v>
      </c>
      <c r="AL19" s="823">
        <f t="shared" si="8"/>
        <v>0</v>
      </c>
      <c r="AM19" s="836">
        <f t="shared" si="8"/>
        <v>0</v>
      </c>
      <c r="AN19" s="826">
        <f>IF(ISNUMBER(Datos!K19/Datos!J19),Datos!K19/Datos!J19," - ")</f>
        <v>0.86252771618625279</v>
      </c>
      <c r="AO19" s="826">
        <f>IF(ISNUMBER(FIND("06",Criterios!A8,1)),(IF(ISNUMBER(((Datos!R19/Datos!Q19)*11)/factor_trimestre),((Datos!R19/Datos!Q19)*11)/factor_trimestre," - ")),(IF(ISNUMBER(((Datos!L19/Datos!K19)*11)/factor_trimestre),((Datos!L19/Datos!K19)*11)/factor_trimestre," - ")))</f>
        <v>7.4498714652956295</v>
      </c>
      <c r="AP19" s="837" t="str">
        <f>IF(ISNUMBER(Datos!CI19/Datos!CJ19),Datos!CI19/Datos!CJ19," - ")</f>
        <v xml:space="preserve"> - </v>
      </c>
      <c r="AQ19" s="837">
        <f>IF(OR(ISNUMBER(FIND("01",Criterios!A8,1)),ISNUMBER(FIND("02",Criterios!A8,1)),ISNUMBER(FIND("03",Criterios!A8,1)),ISNUMBER(FIND("04",Criterios!A8,1))),(J19-Y19+K19)/(F19-K19),(I19-Y19+K19)/(F19-K19))</f>
        <v>-0.46075085324232085</v>
      </c>
      <c r="AR19" s="837">
        <f>IF(ISNUMBER((Datos!P19-Datos!Q19+O19)/(Datos!R19-Datos!P19+Datos!Q19-O19)),(Datos!P19-Datos!Q19+O19)/(Datos!R19-Datos!P19+Datos!Q19-O19)," - ")</f>
        <v>2.6537997587454766E-2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169.16362887256034</v>
      </c>
      <c r="G21" s="555">
        <f>IF(ISNUMBER(STDEV(G8:G18)),STDEV(G8:G18),"-")</f>
        <v>163.32391129286611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45.085104709500975</v>
      </c>
      <c r="AK21" s="255"/>
      <c r="AL21" s="255">
        <f>IF(ISNUMBER(STDEV(AL8:AL18)),STDEV(AL8:AL18),"-")</f>
        <v>0</v>
      </c>
      <c r="AM21" s="257">
        <f>IF(ISNUMBER(STDEV(AM8:AM18)),STDEV(AM8:AM18),"-")</f>
        <v>0</v>
      </c>
      <c r="AN21" s="542">
        <f>IF(ISNUMBER(STDEV(AN8:AN18)),STDEV(AN8:AN18),"-")</f>
        <v>0</v>
      </c>
      <c r="AO21" s="543">
        <f>IF(ISNUMBER(STDEV(AO8:AO18)),STDEV(AO8:AO18),"-")</f>
        <v>0.646655916614163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l5p08VQb7tA4h2cgUZHHw7Lu+HWCBeTxUDtjWEhGH3FZVXcj6WrJZ6K/1C0Rp0GSGdtqdwmmBgmglwQG8BURg==" saltValue="nZDsH09Dd58sxF/vZUtX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GJnj8OcwPpApRtAtmAQ4764kU12uML+dGPoeMLyDyl7UPtvDho1dqOIuU1K//APgOj4myHuvKkW1oNAIeqi2A==" saltValue="ipoXJyhUqbmqTjn676um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7R3GyxgCWg6l2YYcNRtWSHs6Av8sIVyKb3/4580x3ABb3K3T+KfebsydIMnktKtHbK542yViuV9FPDbzNv2lA==" saltValue="qPJsCKAxFM8nW2SSThmh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VILALBA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0.34154929577464788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0.24151182315174333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pymge/dB3lqpEFlvct22d6el2FVgUbzdbF/53w6xOaL7Cm2cQPytEhUBoE1+mcebi27gJfJceqJ9ENzHHudKw==" saltValue="WzOABS9FK2K4ZqLY8Aw6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mJOeBJKmPaqniFMs+2trP6xSJRcp3//c0+bCi40VVBlKp+Szn/brJNAdUNrCrpoDQIm6a4CkcDPEEEH7Derrw==" saltValue="xJMNG/fQGx4/6XTDY5pJ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VILALBA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623</v>
      </c>
      <c r="D12" s="407">
        <f>IF(ISNUMBER(C12/Datos!BH12),C12/Datos!BH12," - ")</f>
        <v>311.5</v>
      </c>
      <c r="E12" s="406">
        <f>IF(ISNUMBER(IF(J_V="SI",Datos!J12,Datos!J12+Datos!Z12)),IF(J_V="SI",Datos!J12,Datos!J12+Datos!Z12)," - ")</f>
        <v>301</v>
      </c>
      <c r="F12" s="407">
        <f>IF(ISNUMBER(E12/B12),E12/B12," - ")</f>
        <v>150.5</v>
      </c>
      <c r="G12" s="406">
        <f>IF(ISNUMBER(IF(J_V="SI",Datos!K12,Datos!K12+Datos!AA12)),IF(J_V="SI",Datos!K12,Datos!K12+Datos!AA12)," - ")</f>
        <v>284</v>
      </c>
      <c r="H12" s="407">
        <f>IF(ISNUMBER(G12/B12),G12/B12," - ")</f>
        <v>142</v>
      </c>
      <c r="I12" s="406">
        <f>IF(ISNUMBER(IF(J_V="SI",Datos!L12,Datos!L12+Datos!AB12)),IF(J_V="SI",Datos!L12,Datos!L12+Datos!AB12)," - ")</f>
        <v>640</v>
      </c>
      <c r="J12" s="407">
        <f>IF(ISNUMBER(I12/B12),I12/B12," - ")</f>
        <v>320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623</v>
      </c>
      <c r="D13" s="853" t="str">
        <f>IF(ISNUMBER(C13/Datos!BI13),C13/Datos!BI13," - ")</f>
        <v xml:space="preserve"> - </v>
      </c>
      <c r="E13" s="852">
        <f>SUBTOTAL(9,E8:E12)</f>
        <v>301</v>
      </c>
      <c r="F13" s="853">
        <f>IF(ISNUMBER(E13/B13),E13/B13," - ")</f>
        <v>150.5</v>
      </c>
      <c r="G13" s="852">
        <f>SUBTOTAL(9,G8:G12)</f>
        <v>284</v>
      </c>
      <c r="H13" s="853">
        <f>IF(ISNUMBER(G13/B13),G13/B13," - ")</f>
        <v>142</v>
      </c>
      <c r="I13" s="852">
        <f>SUBTOTAL(9,I8:I12)</f>
        <v>640</v>
      </c>
      <c r="J13" s="853">
        <f>IF(ISNUMBER(I13/B13),I13/B13," - ")</f>
        <v>320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293</v>
      </c>
      <c r="D16" s="407">
        <f>IF(ISNUMBER(C16/Datos!BH16),C16/Datos!BH16," - ")</f>
        <v>146.5</v>
      </c>
      <c r="E16" s="406">
        <f>IF(ISNUMBER(IF(D_I="SI",Datos!J16,Datos!J16+Datos!AD16)),IF(D_I="SI",Datos!J16,Datos!J16+Datos!AD16)," - ")</f>
        <v>159</v>
      </c>
      <c r="F16" s="407">
        <f>IF(ISNUMBER(E16/B16),E16/B16," - ")</f>
        <v>79.5</v>
      </c>
      <c r="G16" s="406">
        <f>IF(ISNUMBER(IF(D_I="SI",Datos!K16,Datos!K16+Datos!AE16)),IF(D_I="SI",Datos!K16,Datos!K16+Datos!AE16)," - ")</f>
        <v>123</v>
      </c>
      <c r="H16" s="407">
        <f>IF(ISNUMBER(G16/B16),G16/B16," - ")</f>
        <v>61.5</v>
      </c>
      <c r="I16" s="406">
        <f>IF(ISNUMBER(IF(D_I="SI",Datos!L16,Datos!L16+Datos!AF16)),IF(D_I="SI",Datos!L16,Datos!L16+Datos!AF16)," - ")</f>
        <v>329</v>
      </c>
      <c r="J16" s="407">
        <f>IF(ISNUMBER(I16/B16),I16/B16," - ")</f>
        <v>164.5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17</v>
      </c>
      <c r="F17" s="407">
        <f>IF(ISNUMBER(E17/B17),E17/B17," - ")</f>
        <v>17</v>
      </c>
      <c r="G17" s="406">
        <f>IF(ISNUMBER(IF(D_I="SI",Datos!K17,Datos!K17+Datos!AE17)),IF(D_I="SI",Datos!K17,Datos!K17+Datos!AE17)," - ")</f>
        <v>12</v>
      </c>
      <c r="H17" s="407">
        <f>IF(ISNUMBER(G17/B17),G17/B17," - ")</f>
        <v>12</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318</v>
      </c>
      <c r="D18" s="853" t="str">
        <f>IF(ISNUMBER(C18/Datos!BI18),C18/Datos!BI18," - ")</f>
        <v xml:space="preserve"> - </v>
      </c>
      <c r="E18" s="852">
        <f>SUBTOTAL(9,E14:E17)</f>
        <v>176</v>
      </c>
      <c r="F18" s="853">
        <f>IF(ISNUMBER(E18/B18),E18/B18," - ")</f>
        <v>88</v>
      </c>
      <c r="G18" s="852">
        <f>SUBTOTAL(9,G14:G17)</f>
        <v>135</v>
      </c>
      <c r="H18" s="853">
        <f>IF(ISNUMBER(G18/B18),G18/B18," - ")</f>
        <v>67.5</v>
      </c>
      <c r="I18" s="852">
        <f>SUBTOTAL(9,I14:I17)</f>
        <v>360</v>
      </c>
      <c r="J18" s="853">
        <f>IF(ISNUMBER(I18/B18),I18/B18," - ")</f>
        <v>180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941</v>
      </c>
      <c r="D19" s="798" t="str">
        <f>IF(ISNUMBER(C19/Datos!BI19),C19/Datos!BI19," - ")</f>
        <v xml:space="preserve"> - </v>
      </c>
      <c r="E19" s="797">
        <f>SUBTOTAL(9,E9:E18)</f>
        <v>477</v>
      </c>
      <c r="F19" s="798">
        <f>IF(ISNUMBER(E19/B19),E19/B19," - ")</f>
        <v>238.5</v>
      </c>
      <c r="G19" s="797">
        <f>SUBTOTAL(9,G9:G18)</f>
        <v>419</v>
      </c>
      <c r="H19" s="798">
        <f>IF(ISNUMBER(G19/B19),G19/B19," - ")</f>
        <v>209.5</v>
      </c>
      <c r="I19" s="797">
        <f>SUBTOTAL(9,I9:I18)</f>
        <v>1000</v>
      </c>
      <c r="J19" s="798">
        <f>IF(ISNUMBER(I19/B19),I19/B19," - ")</f>
        <v>500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oQD4OqulIK7ykA8vzwZHdcitP5dlJaLgTKMkKvcRcJeTh+D14pNqIhnpQOC+b+ot1DROCeFhuLEHomlL1V8gg==" saltValue="g/a/km6L5xcyaOZgT2PQ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VILALBA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v>
      </c>
      <c r="AM12" s="693">
        <f>IF(ISNUMBER(Datos!N12+DatosP!N16),Datos!N12+DatosP!N16," - ")</f>
        <v>136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6.7605633802816909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2.4570024570024569E-2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39</v>
      </c>
      <c r="AE13" s="942">
        <f t="shared" si="1"/>
        <v>0</v>
      </c>
      <c r="AF13" s="942">
        <f t="shared" si="1"/>
        <v>0</v>
      </c>
      <c r="AG13" s="942">
        <f t="shared" si="1"/>
        <v>0</v>
      </c>
      <c r="AH13" s="942">
        <f t="shared" si="1"/>
        <v>834</v>
      </c>
      <c r="AI13" s="942">
        <f t="shared" si="1"/>
        <v>0</v>
      </c>
      <c r="AJ13" s="942">
        <f t="shared" si="1"/>
        <v>0</v>
      </c>
      <c r="AK13" s="942">
        <f t="shared" si="1"/>
        <v>0</v>
      </c>
      <c r="AL13" s="942">
        <f t="shared" si="1"/>
        <v>97</v>
      </c>
      <c r="AM13" s="942">
        <f t="shared" si="1"/>
        <v>136</v>
      </c>
      <c r="AN13" s="942">
        <f t="shared" si="1"/>
        <v>0</v>
      </c>
      <c r="AO13" s="942">
        <f t="shared" si="1"/>
        <v>0</v>
      </c>
      <c r="AP13" s="947">
        <f>IF(ISNUMBER(((Datos!L13/Datos!K13)*11)/factor_trimestre),((Datos!L13/Datos!K13)*11)/factor_trimestre," - ")</f>
        <v>7.1574803149606305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2.4570024570024569E-2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v>
      </c>
      <c r="AQ18" s="947">
        <f>IF(ISNUMBER(((Datos!M18/Datos!L18)*11)/factor_trimestre),((Datos!M18/Datos!L18)*11)/factor_trimestre," - ")</f>
        <v>0.19999999999999998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0.13333333333333333</v>
      </c>
      <c r="AW18" s="949">
        <f>IF(ISNUMBER((Datos!Q18-Datos!R18)/(Datos!S18-Datos!Q18+Datos!R18)),(Datos!Q18-Datos!R18)/(Datos!S18-Datos!Q18+Datos!R18)," - ")</f>
        <v>-3.64741641337386E-2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39</v>
      </c>
      <c r="AE19" s="960">
        <f t="shared" si="5"/>
        <v>0</v>
      </c>
      <c r="AF19" s="961">
        <f t="shared" si="5"/>
        <v>0</v>
      </c>
      <c r="AG19" s="961">
        <f t="shared" si="5"/>
        <v>0</v>
      </c>
      <c r="AH19" s="961">
        <f t="shared" si="5"/>
        <v>834</v>
      </c>
      <c r="AI19" s="961">
        <f t="shared" si="5"/>
        <v>0</v>
      </c>
      <c r="AJ19" s="962">
        <f t="shared" si="5"/>
        <v>0</v>
      </c>
      <c r="AK19" s="962">
        <f t="shared" si="5"/>
        <v>0</v>
      </c>
      <c r="AL19" s="954">
        <f t="shared" si="5"/>
        <v>97</v>
      </c>
      <c r="AM19" s="954">
        <f t="shared" si="5"/>
        <v>136</v>
      </c>
      <c r="AN19" s="954">
        <f t="shared" si="5"/>
        <v>0</v>
      </c>
      <c r="AO19" s="954">
        <f t="shared" si="5"/>
        <v>0</v>
      </c>
      <c r="AP19" s="954">
        <f>IF(ISNUMBER(((Datos!L19/Datos!K19)*11)/factor_trimestre),((Datos!L19/Datos!K19)*11)/factor_trimestre," - ")</f>
        <v>7.4498714652956295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2.6537997587454766E-2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56.0029761113937</v>
      </c>
      <c r="AM21" s="739"/>
      <c r="AN21" s="739">
        <f>IF(ISNUMBER(STDEV(AN8:AN18)),STDEV(AN8:AN18),"-")</f>
        <v>0</v>
      </c>
      <c r="AO21" s="745">
        <f>IF(ISNUMBER(STDEV(AO8:AO18)),STDEV(AO8:AO18),"-")</f>
        <v>0</v>
      </c>
      <c r="AP21" s="782">
        <f>IF(ISNUMBER(STDEV(AP8:AP18)),STDEV(AP8:AP18),"-")</f>
        <v>0.63292780091314693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Kwv+ds3Ikk7e3I8WVBUkyciWnKbnHEb5w//+okiAk+H54I2IX9uIVnj+8SRgYuYA4otpmE3o7f/cUwJ/qcR0A==" saltValue="nx8iWvhrCt5nEeFZOEWF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VILALBA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adP0ree2Tw/13z9GtHxBxsHB+jwzV3t2UhJ1+pt5tBHBMOq4Qmn5FknuqfO2ddy1sWCsaCkT59L+IdFiZpC2Q==" saltValue="DAPYIBIcgQ4lFaxzVYCH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VILALBA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97</v>
      </c>
      <c r="E12" s="407">
        <f t="shared" si="0"/>
        <v>48.5</v>
      </c>
      <c r="F12" s="406">
        <f>IF(ISNUMBER(Datos!N12),Datos!N12," - ")</f>
        <v>136</v>
      </c>
      <c r="G12" s="407">
        <f t="shared" si="1"/>
        <v>68</v>
      </c>
      <c r="H12" s="406">
        <f>IF(ISNUMBER(Datos!O12),Datos!O12," - ")</f>
        <v>61</v>
      </c>
      <c r="I12" s="407">
        <f t="shared" si="2"/>
        <v>30.5</v>
      </c>
    </row>
    <row r="13" spans="1:9" ht="14.25" thickTop="1" thickBot="1">
      <c r="A13" s="851" t="str">
        <f>Datos!A13</f>
        <v>TOTAL</v>
      </c>
      <c r="B13" s="852">
        <f>Datos!AO13</f>
        <v>3</v>
      </c>
      <c r="C13" s="854">
        <f>Datos!AR13</f>
        <v>2</v>
      </c>
      <c r="D13" s="852">
        <f>SUBTOTAL(9,D9:D12)</f>
        <v>97</v>
      </c>
      <c r="E13" s="853">
        <f t="shared" si="0"/>
        <v>32.333333333333336</v>
      </c>
      <c r="F13" s="852">
        <f>SUBTOTAL(9,F9:F12)</f>
        <v>136</v>
      </c>
      <c r="G13" s="853">
        <f t="shared" si="1"/>
        <v>45.333333333333336</v>
      </c>
      <c r="H13" s="852">
        <f>SUBTOTAL(9,H9:H12)</f>
        <v>61</v>
      </c>
      <c r="I13" s="853">
        <f>IF(ISNUMBER(H13/B13),H13/B13," - ")</f>
        <v>20.333333333333332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23</v>
      </c>
      <c r="E16" s="407">
        <f t="shared" si="3"/>
        <v>11.5</v>
      </c>
      <c r="F16" s="406">
        <f>IF(ISNUMBER(Datos!N16),Datos!N16," - ")</f>
        <v>66</v>
      </c>
      <c r="G16" s="407">
        <f t="shared" si="4"/>
        <v>33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3</v>
      </c>
      <c r="C18" s="854">
        <f>Datos!AR18</f>
        <v>2</v>
      </c>
      <c r="D18" s="852">
        <f>SUBTOTAL(9,D15:D17)</f>
        <v>24</v>
      </c>
      <c r="E18" s="853">
        <f t="shared" si="3"/>
        <v>8</v>
      </c>
      <c r="F18" s="852">
        <f>SUBTOTAL(9,F15:F17)</f>
        <v>76</v>
      </c>
      <c r="G18" s="853">
        <f t="shared" si="4"/>
        <v>25.333333333333332</v>
      </c>
      <c r="H18" s="852">
        <f>SUBTOTAL(9,H15:H17)</f>
        <v>0</v>
      </c>
      <c r="I18" s="853">
        <f>IF(ISNUMBER(H18/B18),H18/B18," - ")</f>
        <v>0</v>
      </c>
    </row>
    <row r="19" spans="1:9" ht="14.25" thickTop="1" thickBot="1">
      <c r="A19" s="796" t="str">
        <f>Datos!A19</f>
        <v>TOTAL JURISDICCIONES</v>
      </c>
      <c r="B19" s="797">
        <f>Datos!AP19</f>
        <v>2</v>
      </c>
      <c r="C19" s="797">
        <f>Datos!AR19</f>
        <v>2</v>
      </c>
      <c r="D19" s="797">
        <f>SUBTOTAL(9,D8:D18)</f>
        <v>121</v>
      </c>
      <c r="E19" s="798">
        <f>IF(ISNUMBER(D19/B19),D19/B19," - ")</f>
        <v>60.5</v>
      </c>
      <c r="F19" s="797">
        <f>SUBTOTAL(9,F8:F18)</f>
        <v>212</v>
      </c>
      <c r="G19" s="798">
        <f>IF(ISNUMBER(F19/B19),F19/B19," - ")</f>
        <v>106</v>
      </c>
      <c r="H19" s="797">
        <f>SUBTOTAL(9,H8:H18)</f>
        <v>61</v>
      </c>
      <c r="I19" s="798">
        <f>IF(ISNUMBER(H19/B19),H19/B19," - ")</f>
        <v>30.5</v>
      </c>
    </row>
    <row r="22" spans="1:9">
      <c r="A22" s="394" t="str">
        <f>Criterios!A4</f>
        <v>Fecha Informe: 07 mar. 2024</v>
      </c>
    </row>
    <row r="27" spans="1:9">
      <c r="A27" s="417"/>
    </row>
  </sheetData>
  <sheetProtection algorithmName="SHA-512" hashValue="LATZNiF9EzXInaF3iC9+hWayjJGu3WYaA9pcXHqzgvlqGJSHlK05knfwQSkOGFye3AM7GMH/fWYEwwWf8O1VdQ==" saltValue="qGVNt5IEzJyyHZX80zyy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VILALBA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59</v>
      </c>
      <c r="C12" s="437">
        <f>IF(ISNUMBER(Datos!Q12),Datos!Q12," - ")</f>
        <v>39</v>
      </c>
      <c r="D12" s="411">
        <f>IF(ISNUMBER(Datos!R12),Datos!R12," - ")</f>
        <v>834</v>
      </c>
    </row>
    <row r="13" spans="1:4" ht="14.25" thickTop="1" thickBot="1">
      <c r="A13" s="851" t="str">
        <f>Datos!A13</f>
        <v>TOTAL</v>
      </c>
      <c r="B13" s="852">
        <f>SUBTOTAL(9,B9:B12)</f>
        <v>59</v>
      </c>
      <c r="C13" s="856">
        <f>SUBTOTAL(9,C9:C12)</f>
        <v>39</v>
      </c>
      <c r="D13" s="854">
        <f>SUBTOTAL(9,D9:D12)</f>
        <v>834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5</v>
      </c>
      <c r="D16" s="411">
        <f>IF(ISNUMBER(Datos!R16),Datos!R16," - ")</f>
        <v>17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v>
      </c>
      <c r="C18" s="856">
        <f>SUBTOTAL(9,C15:C17)</f>
        <v>5</v>
      </c>
      <c r="D18" s="854">
        <f>SUBTOTAL(9,D15:D17)</f>
        <v>17</v>
      </c>
    </row>
    <row r="19" spans="1:4" ht="16.5" customHeight="1" thickTop="1" thickBot="1">
      <c r="A19" s="796" t="str">
        <f>Datos!A19</f>
        <v>TOTAL JURISDICCIONES</v>
      </c>
      <c r="B19" s="801">
        <f>SUBTOTAL(9,B8:B18)</f>
        <v>66</v>
      </c>
      <c r="C19" s="802">
        <f>SUBTOTAL(9,C8:C18)</f>
        <v>44</v>
      </c>
      <c r="D19" s="803">
        <f>SUBTOTAL(9,D8:D18)</f>
        <v>851</v>
      </c>
    </row>
    <row r="20" spans="1:4" ht="7.5" customHeight="1"/>
    <row r="21" spans="1:4" ht="6" customHeight="1"/>
    <row r="22" spans="1:4">
      <c r="A22" s="394" t="str">
        <f>Criterios!A4</f>
        <v>Fecha Informe: 07 mar. 2024</v>
      </c>
    </row>
    <row r="27" spans="1:4">
      <c r="A27" s="417"/>
    </row>
  </sheetData>
  <sheetProtection algorithmName="SHA-512" hashValue="p0LkHkdtUDpngAj6yn9HgXLKrOK6/1TJNuCucuXdMQ3ciD3TTIhU+NmQE7rrz/U0bY4gojTa5foTL4zlUsj5rA==" saltValue="Tps84/uPR+88aTYSdpI7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VILALBA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0.35729847494553379</v>
      </c>
      <c r="C12" s="459">
        <f>IF(ISNUMBER(
   IF(J_V="SI",(Datos!J12-Datos!T12)/Datos!T12,(Datos!J12+Datos!Z12-(Datos!T12+Datos!AH12))/(Datos!T12+Datos!AH12))
     ),IF(J_V="SI",(Datos!J12-Datos!T12)/Datos!T12,(Datos!J12+Datos!Z12-(Datos!T12+Datos!AH12))/(Datos!T12+Datos!AH12))," - ")</f>
        <v>8.2733812949640287E-2</v>
      </c>
      <c r="D12" s="459">
        <f>IF(ISNUMBER(
   IF(J_V="SI",(Datos!K12-Datos!U12)/Datos!U12,(Datos!K12+Datos!AA12-(Datos!U12+Datos!AI12))/(Datos!U12+Datos!AI12))
     ),IF(J_V="SI",(Datos!K12-Datos!U12)/Datos!U12,(Datos!K12+Datos!AA12-(Datos!U12+Datos!AI12))/(Datos!U12+Datos!AI12))," - ")</f>
        <v>0.11811023622047244</v>
      </c>
      <c r="E12" s="459">
        <f>IF(ISNUMBER(
   IF(J_V="SI",(Datos!L12-Datos!V12)/Datos!V12,(Datos!L12+Datos!AB12-(Datos!V12+Datos!AJ12))/(Datos!V12+Datos!AJ12))
     ),IF(J_V="SI",(Datos!L12-Datos!V12)/Datos!V12,(Datos!L12+Datos!AB12-(Datos!V12+Datos!AJ12))/(Datos!V12+Datos!AJ12))," - ")</f>
        <v>0.32505175983436851</v>
      </c>
      <c r="F12" s="459">
        <f>IF(ISNUMBER((Datos!M12-Datos!W12)/Datos!W12),(Datos!M12-Datos!W12)/Datos!W12," - ")</f>
        <v>0.10227272727272728</v>
      </c>
      <c r="G12" s="460">
        <f>IF(ISNUMBER((Datos!N12-Datos!X12)/Datos!X12),(Datos!N12-Datos!X12)/Datos!X12," - ")</f>
        <v>0.14285714285714285</v>
      </c>
      <c r="H12" s="458">
        <f>IF(ISNUMBER(((NºAsuntos!G12/NºAsuntos!E12)-Datos!BD12)/Datos!BD12),((NºAsuntos!G12/NºAsuntos!E12)-Datos!BD12)/Datos!BD12," - ")</f>
        <v>3.2673241426217053E-2</v>
      </c>
      <c r="I12" s="459">
        <f>IF(ISNUMBER(((NºAsuntos!I12/NºAsuntos!G12)-Datos!BE12)/Datos!BE12),((NºAsuntos!I12/NºAsuntos!G12)-Datos!BE12)/Datos!BE12," - ")</f>
        <v>0.18508150351383673</v>
      </c>
      <c r="J12" s="464">
        <f>IF(ISNUMBER((('Resol  Asuntos'!D12/NºAsuntos!G12)-Datos!BF12)/Datos!BF12),(('Resol  Asuntos'!D12/NºAsuntos!G12)-Datos!BF12)/Datos!BF12," - ")</f>
        <v>-0.27097881406083563</v>
      </c>
      <c r="K12" s="465">
        <f>IF(ISNUMBER((((NºAsuntos!C12+NºAsuntos!E12)/NºAsuntos!G12)-Datos!BG12)/Datos!BG12),(((NºAsuntos!C12+NºAsuntos!E12)/NºAsuntos!G12)-Datos!BG12)/Datos!BG12," - ")</f>
        <v>0.12129493378179522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0.35729847494553379</v>
      </c>
      <c r="C13" s="858">
        <f>IF(ISNUMBER(
   IF(J_V="SI",(Datos!J13-Datos!T13)/Datos!T13,(Datos!J13+Datos!Z13-(Datos!T13+Datos!AH13))/(Datos!T13+Datos!AH13))
     ),IF(J_V="SI",(Datos!J13-Datos!T13)/Datos!T13,(Datos!J13+Datos!Z13-(Datos!T13+Datos!AH13))/(Datos!T13+Datos!AH13))," - ")</f>
        <v>8.2733812949640287E-2</v>
      </c>
      <c r="D13" s="858">
        <f>IF(ISNUMBER(
   IF(J_V="SI",(Datos!K13-Datos!U13)/Datos!U13,(Datos!K13+Datos!AA13-(Datos!U13+Datos!AI13))/(Datos!U13+Datos!AI13))
     ),IF(J_V="SI",(Datos!K13-Datos!U13)/Datos!U13,(Datos!K13+Datos!AA13-(Datos!U13+Datos!AI13))/(Datos!U13+Datos!AI13))," - ")</f>
        <v>0.11811023622047244</v>
      </c>
      <c r="E13" s="858">
        <f>IF(ISNUMBER(
   IF(J_V="SI",(Datos!L13-Datos!V13)/Datos!V13,(Datos!L13+Datos!AB13-(Datos!V13+Datos!AJ13))/(Datos!V13+Datos!AJ13))
     ),IF(J_V="SI",(Datos!L13-Datos!V13)/Datos!V13,(Datos!L13+Datos!AB13-(Datos!V13+Datos!AJ13))/(Datos!V13+Datos!AJ13))," - ")</f>
        <v>0.32505175983436851</v>
      </c>
      <c r="F13" s="859">
        <f>IF(ISNUMBER((Datos!M13-Datos!W13)/Datos!W13),(Datos!M13-Datos!W13)/Datos!W13," - ")</f>
        <v>0.10227272727272728</v>
      </c>
      <c r="G13" s="860">
        <f>IF(ISNUMBER((Datos!N13-Datos!X13)/Datos!X13),(Datos!N13-Datos!X13)/Datos!X13," - ")</f>
        <v>0.14285714285714285</v>
      </c>
      <c r="H13" s="860">
        <f>IF(ISNUMBER(((NºAsuntos!G13/NºAsuntos!E13)-Datos!BD13)/Datos!BD13),((NºAsuntos!G13/NºAsuntos!E13)-Datos!BD13)/Datos!BD13," - ")</f>
        <v>3.2673241426217053E-2</v>
      </c>
      <c r="I13" s="860">
        <f>IF(ISNUMBER(((NºAsuntos!I13/NºAsuntos!G13)-Datos!BE13)/Datos!BE13),((NºAsuntos!I13/NºAsuntos!G13)-Datos!BE13)/Datos!BE13," - ")</f>
        <v>0.18508150351383673</v>
      </c>
      <c r="J13" s="860">
        <f>IF(ISNUMBER((('Resol  Asuntos'!D13/NºAsuntos!G13)-Datos!BF13)/Datos!BF13),(('Resol  Asuntos'!D13/NºAsuntos!G13)-Datos!BF13)/Datos!BF13," - ")</f>
        <v>-0.27097881406083563</v>
      </c>
      <c r="K13" s="860">
        <f>IF(ISNUMBER((((NºAsuntos!C13+NºAsuntos!E13)/NºAsuntos!G13)-Datos!BG13)/Datos!BG13),(((NºAsuntos!C13+NºAsuntos!E13)/NºAsuntos!G13)-Datos!BG13)/Datos!BG13," - ")</f>
        <v>0.12129493378179522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1.7361111111111112E-2</v>
      </c>
      <c r="C16" s="459">
        <f>IF(ISNUMBER(
   IF(D_I="SI",(Datos!J16-Datos!T16)/Datos!T16,(Datos!J16+Datos!AD16-(Datos!T16+Datos!AL16))/(Datos!T16+Datos!AL16))
     ),IF(D_I="SI",(Datos!J16-Datos!T16)/Datos!T16,(Datos!J16+Datos!AD16-(Datos!T16+Datos!AL16))/(Datos!T16+Datos!AL16))," - ")</f>
        <v>-7.5581395348837205E-2</v>
      </c>
      <c r="D16" s="459">
        <f>IF(ISNUMBER(
   IF(D_I="SI",(Datos!K16-Datos!U16)/Datos!U16,(Datos!K16+Datos!AE16-(Datos!U16+Datos!AM16))/(Datos!U16+Datos!AM16))
     ),IF(D_I="SI",(Datos!K16-Datos!U16)/Datos!U16,(Datos!K16+Datos!AE16-(Datos!U16+Datos!AM16))/(Datos!U16+Datos!AM16))," - ")</f>
        <v>-0.25903614457831325</v>
      </c>
      <c r="E16" s="459">
        <f>IF(ISNUMBER(
   IF(D_I="SI",(Datos!L16-Datos!V16)/Datos!V16,(Datos!L16+Datos!AF16-(Datos!V16+Datos!AN16))/(Datos!V16+Datos!AN16))
     ),IF(D_I="SI",(Datos!L16-Datos!V16)/Datos!V16,(Datos!L16+Datos!AF16-(Datos!V16+Datos!AN16))/(Datos!V16+Datos!AN16))," - ")</f>
        <v>0.11904761904761904</v>
      </c>
      <c r="F16" s="459">
        <f>IF(ISNUMBER((Datos!M16-Datos!W16)/Datos!W16),(Datos!M16-Datos!W16)/Datos!W16," - ")</f>
        <v>-0.25806451612903225</v>
      </c>
      <c r="G16" s="460">
        <f>IF(ISNUMBER((Datos!N16-Datos!X16)/Datos!X16),(Datos!N16-Datos!X16)/Datos!X16," - ")</f>
        <v>-0.29032258064516131</v>
      </c>
      <c r="H16" s="458">
        <f>IF(ISNUMBER(((NºAsuntos!G16/NºAsuntos!E16)-Datos!BD16)/Datos!BD16),((NºAsuntos!G16/NºAsuntos!E16)-Datos!BD16)/Datos!BD16," - ")</f>
        <v>-0.19845419413503068</v>
      </c>
      <c r="I16" s="459">
        <f>IF(ISNUMBER(((NºAsuntos!I16/NºAsuntos!G16)-Datos!BE16)/Datos!BE16),((NºAsuntos!I16/NºAsuntos!G16)-Datos!BE16)/Datos!BE16," - ")</f>
        <v>0.51025938830816875</v>
      </c>
      <c r="J16" s="464">
        <f>IF(ISNUMBER((('Resol  Asuntos'!D16/NºAsuntos!G16)-Datos!BF16)/Datos!BF16),(('Resol  Asuntos'!D16/NºAsuntos!G16)-Datos!BF16)/Datos!BF16," - ")</f>
        <v>1.3113034356149996E-3</v>
      </c>
      <c r="K16" s="465">
        <f>IF(ISNUMBER((((NºAsuntos!C16+NºAsuntos!E16)/NºAsuntos!G16)-Datos!BG16)/Datos!BG16),(((NºAsuntos!C16+NºAsuntos!E16)/NºAsuntos!G16)-Datos!BG16)/Datos!BG16," - ")</f>
        <v>0.32612230470130799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-0.13793103448275862</v>
      </c>
      <c r="C17" s="459">
        <f>IF(ISNUMBER(
   IF(D_I="SI",(Datos!J17-Datos!T17)/Datos!T17,(Datos!J17+Datos!AD17-(Datos!T17+Datos!AL17))/(Datos!T17+Datos!AL17))
     ),IF(D_I="SI",(Datos!J17-Datos!T17)/Datos!T17,(Datos!J17+Datos!AD17-(Datos!T17+Datos!AL17))/(Datos!T17+Datos!AL17))," - ")</f>
        <v>0.30769230769230771</v>
      </c>
      <c r="D17" s="459">
        <f>IF(ISNUMBER(
   IF(D_I="SI",(Datos!K17-Datos!U17)/Datos!U17,(Datos!K17+Datos!AE17-(Datos!U17+Datos!AM17))/(Datos!U17+Datos!AM17))
     ),IF(D_I="SI",(Datos!K17-Datos!U17)/Datos!U17,(Datos!K17+Datos!AE17-(Datos!U17+Datos!AM17))/(Datos!U17+Datos!AM17))," - ")</f>
        <v>0.2</v>
      </c>
      <c r="E17" s="459">
        <f>IF(ISNUMBER(
   IF(D_I="SI",(Datos!L17-Datos!V17)/Datos!V17,(Datos!L17+Datos!AF17-(Datos!V17+Datos!AN17))/(Datos!V17+Datos!AN17))
     ),IF(D_I="SI",(Datos!L17-Datos!V17)/Datos!V17,(Datos!L17+Datos!AF17-(Datos!V17+Datos!AN17))/(Datos!V17+Datos!AN17))," - ")</f>
        <v>-3.125E-2</v>
      </c>
      <c r="F17" s="459" t="str">
        <f>IF(ISNUMBER((Datos!M17-Datos!W17)/Datos!W17),(Datos!M17-Datos!W17)/Datos!W17," - ")</f>
        <v xml:space="preserve"> - </v>
      </c>
      <c r="G17" s="460">
        <f>IF(ISNUMBER((Datos!N17-Datos!X17)/Datos!X17),(Datos!N17-Datos!X17)/Datos!X17," - ")</f>
        <v>-0.2857142857142857</v>
      </c>
      <c r="H17" s="458">
        <f>IF(ISNUMBER(((NºAsuntos!G17/NºAsuntos!E17)-Datos!BD17)/Datos!BD17),((NºAsuntos!G17/NºAsuntos!E17)-Datos!BD17)/Datos!BD17," - ")</f>
        <v>-8.2352941176470573E-2</v>
      </c>
      <c r="I17" s="459">
        <f>IF(ISNUMBER(((NºAsuntos!I17/NºAsuntos!G17)-Datos!BE17)/Datos!BE17),((NºAsuntos!I17/NºAsuntos!G17)-Datos!BE17)/Datos!BE17," - ")</f>
        <v>-0.19270833333333334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-0.16666666666666671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3.1545741324921135E-3</v>
      </c>
      <c r="C18" s="858">
        <f>IF(ISNUMBER(
   IF(Criterios!B14="SI",(Datos!J18-Datos!T18)/Datos!T18,(Datos!J18+Datos!AD18-(Datos!T18+Datos!AL18))/(Datos!T18+Datos!AL18))
     ),IF(Criterios!B14="SI",(Datos!J18-Datos!T18)/Datos!T18,(Datos!J18+Datos!AD18-(Datos!T18+Datos!AL18))/(Datos!T18+Datos!AL18))," - ")</f>
        <v>-4.8648648648648651E-2</v>
      </c>
      <c r="D18" s="858">
        <f>IF(ISNUMBER(
   IF(Criterios!B14="SI",(Datos!K18-Datos!U18)/Datos!U18,(Datos!K18+Datos!AE18-(Datos!U18+Datos!AM18))/(Datos!U18+Datos!AM18))
     ),IF(Criterios!B14="SI",(Datos!K18-Datos!U18)/Datos!U18,(Datos!K18+Datos!AE18-(Datos!U18+Datos!AM18))/(Datos!U18+Datos!AM18))," - ")</f>
        <v>-0.23295454545454544</v>
      </c>
      <c r="E18" s="858">
        <f>IF(ISNUMBER(
   IF(Criterios!B14="SI",(Datos!L18-Datos!V18)/Datos!V18,(Datos!L18+Datos!AF18-(Datos!V18+Datos!AN18))/(Datos!V18+Datos!AN18))
     ),IF(Criterios!B14="SI",(Datos!L18-Datos!V18)/Datos!V18,(Datos!L18+Datos!AF18-(Datos!V18+Datos!AN18))/(Datos!V18+Datos!AN18))," - ")</f>
        <v>0.10429447852760736</v>
      </c>
      <c r="F18" s="859">
        <f>IF(ISNUMBER((Datos!M18-Datos!W18)/Datos!W18),(Datos!M18-Datos!W18)/Datos!W18," - ")</f>
        <v>-0.22580645161290322</v>
      </c>
      <c r="G18" s="860">
        <f>IF(ISNUMBER((Datos!N18-Datos!X18)/Datos!X18),(Datos!N18-Datos!X18)/Datos!X18," - ")</f>
        <v>-0.28971962616822428</v>
      </c>
      <c r="H18" s="860">
        <f>IF(ISNUMBER(((NºAsuntos!G18/NºAsuntos!E18)-Datos!BD18)/Datos!BD18),((NºAsuntos!G18/NºAsuntos!E18)-Datos!BD18)/Datos!BD18," - ")</f>
        <v>-0.19373063016528927</v>
      </c>
      <c r="I18" s="860">
        <f>IF(ISNUMBER(((NºAsuntos!I18/NºAsuntos!G18)-Datos!BE18)/Datos!BE18),((NºAsuntos!I18/NºAsuntos!G18)-Datos!BE18)/Datos!BE18," - ")</f>
        <v>0.43967280163599171</v>
      </c>
      <c r="J18" s="860">
        <f>IF(ISNUMBER((('Resol  Asuntos'!D18/NºAsuntos!G18)-Datos!BF18)/Datos!BF18),(('Resol  Asuntos'!D18/NºAsuntos!G18)-Datos!BF18)/Datos!BF18," - ")</f>
        <v>9.3189964157705894E-3</v>
      </c>
      <c r="K18" s="860">
        <f>IF(ISNUMBER((((NºAsuntos!C18+NºAsuntos!E18)/NºAsuntos!G18)-Datos!BG18)/Datos!BG18),(((NºAsuntos!C18+NºAsuntos!E18)/NºAsuntos!G18)-Datos!BG18)/Datos!BG18," - ")</f>
        <v>0.28292754906300738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0.21262886597938144</v>
      </c>
      <c r="C19" s="805">
        <f>IF(ISNUMBER(
   IF(J_V="SI",(Datos!J19-Datos!T19)/Datos!T19,(Datos!J19+Datos!Z19-(Datos!T19+Datos!AH19))/(Datos!T19+Datos!AH19))
     ),IF(J_V="SI",(Datos!J19-Datos!T19)/Datos!T19,(Datos!J19+Datos!Z19-(Datos!T19+Datos!AH19))/(Datos!T19+Datos!AH19))," - ")</f>
        <v>3.0237580993520519E-2</v>
      </c>
      <c r="D19" s="805">
        <f>IF(ISNUMBER(
   IF(J_V="SI",(Datos!K19-Datos!U19)/Datos!U19,(Datos!K19+Datos!AA19-(Datos!U19+Datos!AI19))/(Datos!U19+Datos!AI19))
     ),IF(J_V="SI",(Datos!K19-Datos!U19)/Datos!U19,(Datos!K19+Datos!AA19-(Datos!U19+Datos!AI19))/(Datos!U19+Datos!AI19))," - ")</f>
        <v>-2.5581395348837209E-2</v>
      </c>
      <c r="E19" s="805">
        <f>IF(ISNUMBER(
   IF(J_V="SI",(Datos!L19-Datos!V19)/Datos!V19,(Datos!L19+Datos!AB19-(Datos!V19+Datos!AJ19))/(Datos!V19+Datos!AJ19))
     ),IF(J_V="SI",(Datos!L19-Datos!V19)/Datos!V19,(Datos!L19+Datos!AB19-(Datos!V19+Datos!AJ19))/(Datos!V19+Datos!AJ19))," - ")</f>
        <v>0.2360939431396786</v>
      </c>
      <c r="F19" s="806">
        <f>IF(ISNUMBER((Datos!M19-Datos!W19)/Datos!W19),(Datos!M19-Datos!W19)/Datos!W19," - ")</f>
        <v>1.680672268907563E-2</v>
      </c>
      <c r="G19" s="807">
        <f>IF(ISNUMBER((Datos!N19-Datos!X19)/Datos!X19),(Datos!N19-Datos!X19)/Datos!X19," - ")</f>
        <v>-6.1946902654867256E-2</v>
      </c>
      <c r="H19" s="808">
        <f>IF(ISNUMBER((Tasas!B19-Datos!BD19)/Datos!BD19),(Tasas!B19-Datos!BD19)/Datos!BD19," - ")</f>
        <v>-5.4180683535663826E-2</v>
      </c>
      <c r="I19" s="809">
        <f>IF(ISNUMBER((Tasas!C19-Datos!BE19)/Datos!BE19),(Tasas!C19-Datos!BE19)/Datos!BE19," - ")</f>
        <v>0.26854509677819038</v>
      </c>
      <c r="J19" s="810">
        <f>IF(ISNUMBER((Tasas!D19-Datos!BF19)/Datos!BF19),(Tasas!D19-Datos!BF19)/Datos!BF19," - ")</f>
        <v>-0.17215592680986477</v>
      </c>
      <c r="K19" s="810">
        <f>IF(ISNUMBER((Tasas!E19-Datos!BG19)/Datos!BG19),(Tasas!E19-Datos!BG19)/Datos!BG19," - ")</f>
        <v>0.17451713503653146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gLRr4JhLNZyVPuxCXInm4TvwX9Pydb2HHf+nlOCSZFmfV4PR9t4xzq98TJC7xacFRAqCVVzltsyc4DAfJoOLw==" saltValue="9LIiMxIn4SdGdUHAsKHc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VILALBA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0.94352159468438535</v>
      </c>
      <c r="C12" s="446">
        <f>IF(ISNUMBER(NºAsuntos!I12/NºAsuntos!G12),NºAsuntos!I12/NºAsuntos!G12," - ")</f>
        <v>2.2535211267605635</v>
      </c>
      <c r="D12" s="447">
        <f>IF(ISNUMBER('Resol  Asuntos'!D12/NºAsuntos!G12),'Resol  Asuntos'!D12/NºAsuntos!G12," - ")</f>
        <v>0.34154929577464788</v>
      </c>
      <c r="E12" s="448">
        <f>IF(ISNUMBER((NºAsuntos!C12+NºAsuntos!E12)/NºAsuntos!G12),(NºAsuntos!C12+NºAsuntos!E12)/NºAsuntos!G12," - ")</f>
        <v>3.2535211267605635</v>
      </c>
      <c r="G12" s="466"/>
    </row>
    <row r="13" spans="1:7" ht="14.25" thickTop="1" thickBot="1">
      <c r="A13" s="851" t="str">
        <f>Datos!A13</f>
        <v>TOTAL</v>
      </c>
      <c r="B13" s="861">
        <f>IF(ISNUMBER(NºAsuntos!G13/NºAsuntos!E13),NºAsuntos!G13/NºAsuntos!E13," - ")</f>
        <v>0.94352159468438535</v>
      </c>
      <c r="C13" s="862">
        <f>IF(ISNUMBER(NºAsuntos!I13/NºAsuntos!G13),NºAsuntos!I13/NºAsuntos!G13," - ")</f>
        <v>2.2535211267605635</v>
      </c>
      <c r="D13" s="863">
        <f>IF(ISNUMBER('Resol  Asuntos'!D13/NºAsuntos!G13),'Resol  Asuntos'!D13/NºAsuntos!G13," - ")</f>
        <v>0.34154929577464788</v>
      </c>
      <c r="E13" s="864">
        <f>IF(ISNUMBER((NºAsuntos!C13+NºAsuntos!E13)/NºAsuntos!G13),(NºAsuntos!C13+NºAsuntos!E13)/NºAsuntos!G13," - ")</f>
        <v>3.2535211267605635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0.77358490566037741</v>
      </c>
      <c r="C16" s="446">
        <f>IF(ISNUMBER(NºAsuntos!I16/NºAsuntos!G16),NºAsuntos!I16/NºAsuntos!G16," - ")</f>
        <v>2.6747967479674797</v>
      </c>
      <c r="D16" s="447">
        <f>IF(ISNUMBER('Resol  Asuntos'!D16/NºAsuntos!G16),'Resol  Asuntos'!D16/NºAsuntos!G16," - ")</f>
        <v>0.18699186991869918</v>
      </c>
      <c r="E16" s="448">
        <f>IF(ISNUMBER((NºAsuntos!C16+NºAsuntos!E16)/NºAsuntos!G16),(NºAsuntos!C16+NºAsuntos!E16)/NºAsuntos!G16," - ")</f>
        <v>3.6747967479674797</v>
      </c>
      <c r="G16" s="466"/>
    </row>
    <row r="17" spans="1:7" ht="13.5" thickBot="1">
      <c r="A17" s="405" t="str">
        <f>Datos!A17</f>
        <v>Jdos. Violencia contra la mujer</v>
      </c>
      <c r="B17" s="445">
        <f>IF(ISNUMBER(NºAsuntos!G17/NºAsuntos!E17),NºAsuntos!G17/NºAsuntos!E17," - ")</f>
        <v>0.70588235294117652</v>
      </c>
      <c r="C17" s="446">
        <f>IF(ISNUMBER(NºAsuntos!I17/NºAsuntos!G17),NºAsuntos!I17/NºAsuntos!G17," - ")</f>
        <v>2.5833333333333335</v>
      </c>
      <c r="D17" s="447">
        <f>IF(ISNUMBER('Resol  Asuntos'!D17/NºAsuntos!G17),'Resol  Asuntos'!D17/NºAsuntos!G17," - ")</f>
        <v>8.3333333333333329E-2</v>
      </c>
      <c r="E17" s="448">
        <f>IF(ISNUMBER((NºAsuntos!C17+NºAsuntos!E17)/NºAsuntos!G17),(NºAsuntos!C17+NºAsuntos!E17)/NºAsuntos!G17," - ")</f>
        <v>3.5</v>
      </c>
      <c r="G17" s="466"/>
    </row>
    <row r="18" spans="1:7" ht="14.25" thickTop="1" thickBot="1">
      <c r="A18" s="851" t="str">
        <f>Datos!A18</f>
        <v>TOTAL</v>
      </c>
      <c r="B18" s="861">
        <f>IF(ISNUMBER(NºAsuntos!G18/NºAsuntos!E18),NºAsuntos!G18/NºAsuntos!E18," - ")</f>
        <v>0.76704545454545459</v>
      </c>
      <c r="C18" s="862">
        <f>IF(ISNUMBER(NºAsuntos!I18/NºAsuntos!G18),NºAsuntos!I18/NºAsuntos!G18," - ")</f>
        <v>2.6666666666666665</v>
      </c>
      <c r="D18" s="865">
        <f>IF(ISNUMBER('Resol  Asuntos'!D18/NºAsuntos!G18),'Resol  Asuntos'!D18/NºAsuntos!G18," - ")</f>
        <v>0.17777777777777778</v>
      </c>
      <c r="E18" s="864">
        <f>IF(ISNUMBER((NºAsuntos!C18+NºAsuntos!E18)/NºAsuntos!G18),(NºAsuntos!C18+NºAsuntos!E18)/NºAsuntos!G18," - ")</f>
        <v>3.6592592592592594</v>
      </c>
      <c r="G18" s="466"/>
    </row>
    <row r="19" spans="1:7" ht="15.75" customHeight="1" thickTop="1" thickBot="1">
      <c r="A19" s="796" t="str">
        <f>Datos!A19</f>
        <v>TOTAL JURISDICCIONES</v>
      </c>
      <c r="B19" s="811">
        <f>IF(ISNUMBER(NºAsuntos!G19/NºAsuntos!E19),NºAsuntos!G19/NºAsuntos!E19," - ")</f>
        <v>0.87840670859538783</v>
      </c>
      <c r="C19" s="812">
        <f>IF(ISNUMBER(NºAsuntos!I19/NºAsuntos!G19),NºAsuntos!I19/NºAsuntos!G19," - ")</f>
        <v>2.3866348448687349</v>
      </c>
      <c r="D19" s="813">
        <f>IF(ISNUMBER('Resol  Asuntos'!D19/NºAsuntos!G19),'Resol  Asuntos'!D19/NºAsuntos!G19," - ")</f>
        <v>0.28878281622911695</v>
      </c>
      <c r="E19" s="814">
        <f>IF(ISNUMBER((NºAsuntos!C19+NºAsuntos!E19)/NºAsuntos!G19),(NºAsuntos!C19+NºAsuntos!E19)/NºAsuntos!G19," - ")</f>
        <v>3.3842482100238662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81OZK+qFLsAXxK0JNY1DRKAkCFnn+8Rd4Gl9W1dxAW+imeWxiLHsUrCNTd9c4hQj7KEh/Bz8paIAUc8wdjLZA==" saltValue="eHJndyCBN6naLAG3hkGj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VILALBA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v>
      </c>
      <c r="Y12" s="337">
        <f t="shared" si="0"/>
        <v>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v>
      </c>
      <c r="AJ12" s="232" t="str">
        <f>IF(ISNUMBER(Datos!BW12),Datos!BW12," - ")</f>
        <v xml:space="preserve"> - </v>
      </c>
      <c r="AK12" s="231" t="str">
        <f>IF(ISNUMBER(Datos!BX12),Datos!BX12," - ")</f>
        <v xml:space="preserve"> - </v>
      </c>
      <c r="AL12" s="246">
        <f>IF(ISNUMBER(NºAsuntos!G12/NºAsuntos!E12),NºAsuntos!G12/NºAsuntos!E12," - ")</f>
        <v>0.94352159468438535</v>
      </c>
      <c r="AM12" s="263">
        <f>IF(ISNUMBER(((NºAsuntos!I12/NºAsuntos!G12)*11)/factor_trimestre),((NºAsuntos!I12/NºAsuntos!G12)*11)/factor_trimestre," - ")</f>
        <v>6.7605633802816909</v>
      </c>
      <c r="AN12" s="247">
        <f>IF(ISNUMBER('Resol  Asuntos'!D12/NºAsuntos!G12),'Resol  Asuntos'!D12/NºAsuntos!G12," - ")</f>
        <v>0.34154929577464788</v>
      </c>
      <c r="AO12" s="248">
        <f>IF(ISNUMBER((NºAsuntos!C12+NºAsuntos!E12)/NºAsuntos!G12),(NºAsuntos!C12+NºAsuntos!E12)/NºAsuntos!G12," - ")</f>
        <v>3.2535211267605635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39</v>
      </c>
      <c r="Y13" s="871">
        <f t="shared" si="4"/>
        <v>39</v>
      </c>
      <c r="Z13" s="871">
        <f t="shared" si="4"/>
        <v>0</v>
      </c>
      <c r="AA13" s="871">
        <f t="shared" si="4"/>
        <v>0</v>
      </c>
      <c r="AB13" s="871">
        <f t="shared" si="4"/>
        <v>834</v>
      </c>
      <c r="AC13" s="871">
        <f t="shared" si="4"/>
        <v>0</v>
      </c>
      <c r="AD13" s="871">
        <f t="shared" si="4"/>
        <v>0</v>
      </c>
      <c r="AE13" s="875">
        <f t="shared" si="4"/>
        <v>0</v>
      </c>
      <c r="AF13" s="868">
        <f t="shared" si="4"/>
        <v>0</v>
      </c>
      <c r="AG13" s="876">
        <f t="shared" si="4"/>
        <v>0</v>
      </c>
      <c r="AH13" s="873">
        <f t="shared" si="4"/>
        <v>0</v>
      </c>
      <c r="AI13" s="868">
        <f t="shared" si="4"/>
        <v>97</v>
      </c>
      <c r="AJ13" s="870">
        <f t="shared" si="4"/>
        <v>0</v>
      </c>
      <c r="AK13" s="873">
        <f>SUBTOTAL(9,AK9:AK12)</f>
        <v>0</v>
      </c>
      <c r="AL13" s="877">
        <f>IF(ISNUMBER(NºAsuntos!G13/NºAsuntos!E13),NºAsuntos!G13/NºAsuntos!E13," - ")</f>
        <v>0.94352159468438535</v>
      </c>
      <c r="AM13" s="877">
        <f>IF(ISNUMBER(((NºAsuntos!I13/NºAsuntos!G13)*11)/factor_trimestre),((NºAsuntos!I13/NºAsuntos!G13)*11)/factor_trimestre," - ")</f>
        <v>6.7605633802816909</v>
      </c>
      <c r="AN13" s="878">
        <f>IF(ISNUMBER('Resol  Asuntos'!D13/NºAsuntos!G13),'Resol  Asuntos'!D13/NºAsuntos!G13," - ")</f>
        <v>0.34154929577464788</v>
      </c>
      <c r="AO13" s="879">
        <f>IF(ISNUMBER((NºAsuntos!C13+NºAsuntos!E13)/NºAsuntos!G13),(NºAsuntos!C13+NºAsuntos!E13)/NºAsuntos!G13," - ")</f>
        <v>3.2535211267605635</v>
      </c>
      <c r="AP13" s="880" t="str">
        <f t="shared" si="2"/>
        <v xml:space="preserve"> - </v>
      </c>
      <c r="AQ13" s="880" t="str">
        <f>IF(ISNUMBER((H13-W13+K13)/(F13)),(H13-W13+K13)/(F13)," - ")</f>
        <v xml:space="preserve"> - </v>
      </c>
      <c r="AR13" s="881">
        <f>IF(ISNUMBER((Datos!P13-Datos!Q13)/(Datos!R13-Datos!P13+Datos!Q13)),(Datos!P13-Datos!Q13)/(Datos!R13-Datos!P13+Datos!Q13)," - ")</f>
        <v>2.4570024570024569E-2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293</v>
      </c>
      <c r="G16" s="336">
        <f>IF(ISNUMBER(IF(D_I="SI",Datos!I16,Datos!I16+Datos!AC16)),IF(D_I="SI",Datos!I16,Datos!I16+Datos!AC16)," - ")</f>
        <v>293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123</v>
      </c>
      <c r="X16" s="229">
        <f>IF(ISNUMBER(Datos!Q16),Datos!Q16," - ")</f>
        <v>5</v>
      </c>
      <c r="Y16" s="337">
        <f t="shared" ref="Y16:Y17" si="7">SUM(W16:X16)</f>
        <v>128</v>
      </c>
      <c r="Z16" s="338" t="str">
        <f>IF(ISNUMBER(Datos!CC16),Datos!CC16," - ")</f>
        <v xml:space="preserve"> - </v>
      </c>
      <c r="AA16" s="335">
        <f>IF(ISNUMBER(IF(D_I="SI",Datos!L16,Datos!L16+Datos!AF16)),IF(D_I="SI",Datos!L16,Datos!L16+Datos!AF16)," - ")</f>
        <v>329</v>
      </c>
      <c r="AB16" s="337">
        <f>IF(ISNUMBER(Datos!R16),Datos!R16," - ")</f>
        <v>17</v>
      </c>
      <c r="AC16" s="337">
        <f t="shared" si="6"/>
        <v>346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v>
      </c>
      <c r="AJ16" s="234" t="str">
        <f>IF(ISNUMBER(Datos!BW16),Datos!BW16," - ")</f>
        <v xml:space="preserve"> - </v>
      </c>
      <c r="AK16" s="235" t="str">
        <f>IF(ISNUMBER(Datos!BX16),Datos!BX16," - ")</f>
        <v xml:space="preserve"> - </v>
      </c>
      <c r="AL16" s="246">
        <f>IF(ISNUMBER(NºAsuntos!G16/NºAsuntos!E16),NºAsuntos!G16/NºAsuntos!E16," - ")</f>
        <v>0.77358490566037741</v>
      </c>
      <c r="AM16" s="263">
        <f>IF(ISNUMBER(((NºAsuntos!I16/NºAsuntos!G16)*11)/factor_trimestre),((NºAsuntos!I16/NºAsuntos!G16)*11)/factor_trimestre," - ")</f>
        <v>8.0243902439024399</v>
      </c>
      <c r="AN16" s="247">
        <f>IF(ISNUMBER('Resol  Asuntos'!D16/NºAsuntos!G16),'Resol  Asuntos'!D16/NºAsuntos!G16," - ")</f>
        <v>0.18699186991869918</v>
      </c>
      <c r="AO16" s="248">
        <f>IF(ISNUMBER((NºAsuntos!C16+NºAsuntos!E16)/NºAsuntos!G16),(NºAsuntos!C16+NºAsuntos!E16)/NºAsuntos!G16," - ")</f>
        <v>3.6747967479674797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v>
      </c>
      <c r="X17" s="229">
        <f>IF(ISNUMBER(Datos!Q17),Datos!Q17," - ")</f>
        <v>0</v>
      </c>
      <c r="Y17" s="337">
        <f t="shared" si="7"/>
        <v>12</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0.70588235294117652</v>
      </c>
      <c r="AM17" s="263">
        <f>IF(ISNUMBER(((NºAsuntos!I17/NºAsuntos!G17)*11)/factor_trimestre),((NºAsuntos!I17/NºAsuntos!G17)*11)/factor_trimestre," - ")</f>
        <v>7.7500000000000009</v>
      </c>
      <c r="AN17" s="247">
        <f>IF(ISNUMBER('Resol  Asuntos'!D17/NºAsuntos!G17),'Resol  Asuntos'!D17/NºAsuntos!G17," - ")</f>
        <v>8.3333333333333329E-2</v>
      </c>
      <c r="AO17" s="248">
        <f>IF(ISNUMBER((NºAsuntos!C17+NºAsuntos!E17)/NºAsuntos!G17),(NºAsuntos!C17+NºAsuntos!E17)/NºAsuntos!G17," - ")</f>
        <v>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293</v>
      </c>
      <c r="G18" s="869">
        <f>SUBTOTAL(9,G15:G17)</f>
        <v>318</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135</v>
      </c>
      <c r="X18" s="870">
        <f t="shared" si="11"/>
        <v>5</v>
      </c>
      <c r="Y18" s="871">
        <f t="shared" si="11"/>
        <v>140</v>
      </c>
      <c r="Z18" s="871">
        <f t="shared" si="11"/>
        <v>0</v>
      </c>
      <c r="AA18" s="871">
        <f t="shared" si="11"/>
        <v>360</v>
      </c>
      <c r="AB18" s="871">
        <f t="shared" si="11"/>
        <v>17</v>
      </c>
      <c r="AC18" s="871">
        <f t="shared" si="11"/>
        <v>377</v>
      </c>
      <c r="AD18" s="871">
        <f t="shared" si="11"/>
        <v>0</v>
      </c>
      <c r="AE18" s="875">
        <f t="shared" si="11"/>
        <v>0</v>
      </c>
      <c r="AF18" s="868">
        <f t="shared" si="11"/>
        <v>0</v>
      </c>
      <c r="AG18" s="876">
        <f t="shared" si="11"/>
        <v>0</v>
      </c>
      <c r="AH18" s="873">
        <f t="shared" si="11"/>
        <v>0</v>
      </c>
      <c r="AI18" s="868">
        <f t="shared" si="11"/>
        <v>24</v>
      </c>
      <c r="AJ18" s="870">
        <f t="shared" si="11"/>
        <v>0</v>
      </c>
      <c r="AK18" s="873">
        <f t="shared" si="11"/>
        <v>0</v>
      </c>
      <c r="AL18" s="877">
        <f>IF(ISNUMBER(NºAsuntos!G18/NºAsuntos!E18),NºAsuntos!G18/NºAsuntos!E18," - ")</f>
        <v>0.76704545454545459</v>
      </c>
      <c r="AM18" s="877">
        <f>IF(ISNUMBER(((NºAsuntos!I18/NºAsuntos!G18)*11)/factor_trimestre),((NºAsuntos!I18/NºAsuntos!G18)*11)/factor_trimestre," - ")</f>
        <v>8</v>
      </c>
      <c r="AN18" s="878">
        <f>IF(ISNUMBER('Resol  Asuntos'!D18/NºAsuntos!G18),'Resol  Asuntos'!D18/NºAsuntos!G18," - ")</f>
        <v>0.17777777777777778</v>
      </c>
      <c r="AO18" s="879">
        <f>IF(ISNUMBER((NºAsuntos!C18+NºAsuntos!E18)/NºAsuntos!G18),(NºAsuntos!C18+NºAsuntos!E18)/NºAsuntos!G18," - ")</f>
        <v>3.6592592592592594</v>
      </c>
      <c r="AP18" s="880" t="str">
        <f t="shared" si="2"/>
        <v xml:space="preserve"> - </v>
      </c>
      <c r="AQ18" s="880">
        <f>IF(ISNUMBER((H18-W18+K18)/(F18)),(H18-W18+K18)/(F18)," - ")</f>
        <v>-0.46075085324232085</v>
      </c>
      <c r="AR18" s="881">
        <f>IF(ISNUMBER((Datos!P18-Datos!Q18)/(Datos!R18-Datos!P18+Datos!Q18)),(Datos!P18-Datos!Q18)/(Datos!R18-Datos!P18+Datos!Q18)," - ")</f>
        <v>0.13333333333333333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293</v>
      </c>
      <c r="G19" s="824">
        <f t="shared" si="13"/>
        <v>318</v>
      </c>
      <c r="H19" s="823">
        <f t="shared" si="13"/>
        <v>0</v>
      </c>
      <c r="I19" s="825">
        <f t="shared" si="13"/>
        <v>0</v>
      </c>
      <c r="J19" s="825">
        <f t="shared" si="13"/>
        <v>0</v>
      </c>
      <c r="K19" s="884">
        <f t="shared" si="13"/>
        <v>0</v>
      </c>
      <c r="L19" s="825">
        <f t="shared" si="13"/>
        <v>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135</v>
      </c>
      <c r="X19" s="824">
        <f t="shared" si="14"/>
        <v>44</v>
      </c>
      <c r="Y19" s="831">
        <f t="shared" si="14"/>
        <v>179</v>
      </c>
      <c r="Z19" s="831">
        <f t="shared" si="14"/>
        <v>0</v>
      </c>
      <c r="AA19" s="831">
        <f t="shared" si="14"/>
        <v>360</v>
      </c>
      <c r="AB19" s="831">
        <f t="shared" si="14"/>
        <v>851</v>
      </c>
      <c r="AC19" s="831">
        <f t="shared" si="14"/>
        <v>377</v>
      </c>
      <c r="AD19" s="831">
        <f t="shared" si="14"/>
        <v>0</v>
      </c>
      <c r="AE19" s="833">
        <f t="shared" si="14"/>
        <v>0</v>
      </c>
      <c r="AF19" s="834">
        <f t="shared" si="14"/>
        <v>0</v>
      </c>
      <c r="AG19" s="835">
        <f t="shared" si="14"/>
        <v>0</v>
      </c>
      <c r="AH19" s="833">
        <f t="shared" si="14"/>
        <v>0</v>
      </c>
      <c r="AI19" s="823">
        <f t="shared" si="14"/>
        <v>121</v>
      </c>
      <c r="AJ19" s="823">
        <f t="shared" si="14"/>
        <v>0</v>
      </c>
      <c r="AK19" s="833">
        <f t="shared" si="14"/>
        <v>0</v>
      </c>
      <c r="AL19" s="887">
        <f>IF(ISNUMBER(NºAsuntos!G19/NºAsuntos!E19),NºAsuntos!G19/NºAsuntos!E19," - ")</f>
        <v>0.87840670859538783</v>
      </c>
      <c r="AM19" s="888">
        <f>IF(ISNUMBER(((NºAsuntos!I19/NºAsuntos!G19)*11)/factor_trimestre),((NºAsuntos!I19/NºAsuntos!G19)*11)/factor_trimestre," - ")</f>
        <v>7.1599045346062056</v>
      </c>
      <c r="AN19" s="888">
        <f>IF(ISNUMBER('Resol  Asuntos'!D19/NºAsuntos!G19),'Resol  Asuntos'!D19/NºAsuntos!G19," - ")</f>
        <v>0.28878281622911695</v>
      </c>
      <c r="AO19" s="889">
        <f>IF(ISNUMBER((NºAsuntos!C19+NºAsuntos!E19)/NºAsuntos!G19),(NºAsuntos!C19+NºAsuntos!E19)/NºAsuntos!G19," - ")</f>
        <v>3.3842482100238662</v>
      </c>
      <c r="AP19" s="890" t="str">
        <f t="shared" si="2"/>
        <v xml:space="preserve"> - </v>
      </c>
      <c r="AQ19" s="891">
        <f>IF(OR(ISNUMBER(FIND("01",Criterios!A8,1)),ISNUMBER(FIND("02",Criterios!A8,1)),ISNUMBER(FIND("03",Criterios!A8,1)),ISNUMBER(FIND("04",Criterios!A8,1))),(I19-W19+K19)/(F19-K19),(H19-W19+K19)/(F19-K19))</f>
        <v>-0.46075085324232085</v>
      </c>
      <c r="AR19" s="892">
        <f>IF(ISNUMBER((Datos!P19-Datos!Q19)/(Datos!R19-Datos!P19+Datos!Q19)),(Datos!P19-Datos!Q19)/(Datos!R19-Datos!P19+Datos!Q19)," - ")</f>
        <v>2.6537997587454766E-2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169.16362887256034</v>
      </c>
      <c r="G21" s="256">
        <f>IF(ISNUMBER(STDEV(G8:G18)),STDEV(G8:G18),"-")</f>
        <v>163.32391129286611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68.771360318085897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45.085104709500975</v>
      </c>
      <c r="AJ21" s="255">
        <f t="shared" si="18"/>
        <v>0</v>
      </c>
      <c r="AK21" s="257">
        <f t="shared" si="18"/>
        <v>0</v>
      </c>
      <c r="AL21" s="252">
        <f t="shared" si="18"/>
        <v>0.10985371093540042</v>
      </c>
      <c r="AM21" s="253">
        <f t="shared" si="18"/>
        <v>0.646655916614163</v>
      </c>
      <c r="AN21" s="253">
        <f t="shared" si="18"/>
        <v>0.11280933633676818</v>
      </c>
      <c r="AO21" s="254">
        <f t="shared" si="18"/>
        <v>0.20758801273141256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siZSV+FfjjEtph+rwj7myPFLQMcclH6zFWTWsQXvCewTTnl1JMs27nYXYfrfFCSZhmIMUrToLVTLyPI7byF/w==" saltValue="t0HLt1r2yUOHoy60MUj6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VILALBA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0.10227272727272728</v>
      </c>
      <c r="I12" s="353">
        <f>IF(ISNUMBER((Tasas!C12-Datos!BE12)/Datos!BE12),(Tasas!C12-Datos!BE12)/Datos!BE12," - ")</f>
        <v>0.18508150351383673</v>
      </c>
      <c r="J12" s="352">
        <f>IF(ISNUMBER((Tasas!D12-Datos!BF12)/Datos!BF12),(Tasas!D12-Datos!BF12)/Datos!BF12," - ")</f>
        <v>-0.27097881406083563</v>
      </c>
      <c r="K12" s="354">
        <f>IF(ISNUMBER((Tasas!E12-Datos!BG12)/Datos!BG12),(Tasas!E12-Datos!BG12)/Datos!BG12," - ")</f>
        <v>0.12129493378179522</v>
      </c>
      <c r="M12" t="e">
        <f>IF(Monitorios="SI",Datos!CE12,0)</f>
        <v>#REF!</v>
      </c>
      <c r="N12" t="e">
        <f>IF(Monitorios="SI",Datos!CF12,0)</f>
        <v>#REF!</v>
      </c>
      <c r="O12" t="e">
        <f>IF(Monitorios="SI",Datos!CG12,0)</f>
        <v>#REF!</v>
      </c>
      <c r="P12" t="e">
        <f>IF(Monitorios="SI",Datos!CH12,0)</f>
        <v>#REF!</v>
      </c>
      <c r="Q12">
        <f>IF(J_V="SI",0,Datos!AG12)</f>
        <v>33</v>
      </c>
      <c r="R12">
        <f>IF(J_V="SI",0,Datos!AH12)</f>
        <v>29</v>
      </c>
      <c r="S12">
        <f>IF(J_V="SI",0,Datos!AI12)</f>
        <v>25</v>
      </c>
      <c r="T12">
        <f>IF(J_V="SI",0,Datos!AJ12)</f>
        <v>37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0.10227272727272728</v>
      </c>
      <c r="I13" s="360">
        <f>IF(ISNUMBER((Tasas!C13-Datos!BE13)/Datos!BE13),(Tasas!C13-Datos!BE13)/Datos!BE13," - ")</f>
        <v>0.18508150351383673</v>
      </c>
      <c r="J13" s="358">
        <f>IF(ISNUMBER((Tasas!D13-Datos!BF13)/Datos!BF13),(Tasas!D13-Datos!BF13)/Datos!BF13," - ")</f>
        <v>-0.27097881406083563</v>
      </c>
      <c r="K13" s="361">
        <f>IF(ISNUMBER((Tasas!E13-Datos!BG13)/Datos!BG13),(Tasas!E13-Datos!BG13)/Datos!BG13," - ")</f>
        <v>0.12129493378179522</v>
      </c>
      <c r="M13" t="e">
        <f>IF(Monitorios="SI",Datos!CE13,0)</f>
        <v>#REF!</v>
      </c>
      <c r="N13" t="e">
        <f>IF(Monitorios="SI",Datos!CF13,0)</f>
        <v>#REF!</v>
      </c>
      <c r="O13" t="e">
        <f>IF(Monitorios="SI",Datos!CG13,0)</f>
        <v>#REF!</v>
      </c>
      <c r="P13" t="e">
        <f>IF(Monitorios="SI",Datos!CH13,0)</f>
        <v>#REF!</v>
      </c>
      <c r="Q13">
        <f>IF(J_V="SI",0,Datos!AG13)</f>
        <v>33</v>
      </c>
      <c r="R13">
        <f>IF(J_V="SI",0,Datos!AH13)</f>
        <v>29</v>
      </c>
      <c r="S13">
        <f>IF(J_V="SI",0,Datos!AI13)</f>
        <v>25</v>
      </c>
      <c r="T13">
        <f>IF(J_V="SI",0,Datos!AJ13)</f>
        <v>37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1.7361111111111112E-2</v>
      </c>
      <c r="E16" s="351">
        <f>IF(ISNUMBER(
   IF(D_I="SI",(Datos!J16-Datos!T16)/Datos!T16,(Datos!J16+Datos!AD16-(Datos!T16+Datos!AL16))/(Datos!T16+Datos!AL16))
     ),IF(D_I="SI",(Datos!J16-Datos!T16)/Datos!T16,(Datos!J16+Datos!AD16-(Datos!T16+Datos!AL16))/(Datos!T16+Datos!AL16))," - ")</f>
        <v>-7.5581395348837205E-2</v>
      </c>
      <c r="F16" s="351">
        <f>IF(ISNUMBER(
   IF(D_I="SI",(Datos!K16-Datos!U16)/Datos!U16,(Datos!K16+Datos!AE16-(Datos!U16+Datos!AM16))/(Datos!U16+Datos!AM16))
     ),IF(D_I="SI",(Datos!K16-Datos!U16)/Datos!U16,(Datos!K16+Datos!AE16-(Datos!U16+Datos!AM16))/(Datos!U16+Datos!AM16))," - ")</f>
        <v>-0.25903614457831325</v>
      </c>
      <c r="G16" s="352">
        <f>IF(ISNUMBER(
   IF(D_I="SI",(Datos!L16-Datos!V16)/Datos!V16,(Datos!L16+Datos!AF16-(Datos!V16+Datos!AN16))/(Datos!V16+Datos!AN16))
     ),IF(D_I="SI",(Datos!L16-Datos!V16)/Datos!V16,(Datos!L16+Datos!AF16-(Datos!V16+Datos!AN16))/(Datos!V16+Datos!AN16))," - ")</f>
        <v>0.11904761904761904</v>
      </c>
      <c r="H16" s="233">
        <f>IF(ISNUMBER((Datos!M16-Datos!W16)/Datos!W16),(Datos!M16-Datos!W16)/Datos!W16," - ")</f>
        <v>-0.25806451612903225</v>
      </c>
      <c r="I16" s="353">
        <f>IF(ISNUMBER((Tasas!C16-Datos!BE16)/Datos!BE16),(Tasas!C16-Datos!BE16)/Datos!BE16," - ")</f>
        <v>0.51025938830816875</v>
      </c>
      <c r="J16" s="352">
        <f>IF(ISNUMBER((Tasas!D16-Datos!BF16)/Datos!BF16),(Tasas!D16-Datos!BF16)/Datos!BF16," - ")</f>
        <v>1.3113034356149996E-3</v>
      </c>
      <c r="K16" s="354">
        <f>IF(ISNUMBER((Tasas!E16-Datos!BG16)/Datos!BG16),(Tasas!E16-Datos!BG16)/Datos!BG16," - ")</f>
        <v>0.32612230470130799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-0.13793103448275862</v>
      </c>
      <c r="E17" s="351">
        <f>IF(ISNUMBER(
   IF(D_I="SI",(Datos!J17-Datos!T17)/Datos!T17,(Datos!J17+Datos!AD17-(Datos!T17+Datos!AL17))/(Datos!T17+Datos!AL17))
     ),IF(D_I="SI",(Datos!J17-Datos!T17)/Datos!T17,(Datos!J17+Datos!AD17-(Datos!T17+Datos!AL17))/(Datos!T17+Datos!AL17))," - ")</f>
        <v>0.30769230769230771</v>
      </c>
      <c r="F17" s="351">
        <f>IF(ISNUMBER(
   IF(D_I="SI",(Datos!K17-Datos!U17)/Datos!U17,(Datos!K17+Datos!AE17-(Datos!U17+Datos!AM17))/(Datos!U17+Datos!AM17))
     ),IF(D_I="SI",(Datos!K17-Datos!U17)/Datos!U17,(Datos!K17+Datos!AE17-(Datos!U17+Datos!AM17))/(Datos!U17+Datos!AM17))," - ")</f>
        <v>0.2</v>
      </c>
      <c r="G17" s="352">
        <f>IF(ISNUMBER(
   IF(D_I="SI",(Datos!L17-Datos!V17)/Datos!V17,(Datos!L17+Datos!AF17-(Datos!V17+Datos!AN17))/(Datos!V17+Datos!AN17))
     ),IF(D_I="SI",(Datos!L17-Datos!V17)/Datos!V17,(Datos!L17+Datos!AF17-(Datos!V17+Datos!AN17))/(Datos!V17+Datos!AN17))," - ")</f>
        <v>-3.125E-2</v>
      </c>
      <c r="H17" s="233" t="str">
        <f>IF(ISNUMBER((Datos!M17-Datos!W17)/Datos!W17),(Datos!M17-Datos!W17)/Datos!W17," - ")</f>
        <v xml:space="preserve"> - </v>
      </c>
      <c r="I17" s="353">
        <f>IF(ISNUMBER((Tasas!C17-Datos!BE17)/Datos!BE17),(Tasas!C17-Datos!BE17)/Datos!BE17," - ")</f>
        <v>-0.19270833333333334</v>
      </c>
      <c r="J17" s="352" t="str">
        <f>IF(ISNUMBER((Tasas!D17-Datos!BF17)/Datos!BF17),(Tasas!D17-Datos!BF17)/Datos!BF17," - ")</f>
        <v xml:space="preserve"> - </v>
      </c>
      <c r="K17" s="354">
        <f>IF(ISNUMBER((Tasas!E17-Datos!BG17)/Datos!BG17),(Tasas!E17-Datos!BG17)/Datos!BG17," - ")</f>
        <v>-0.16666666666666671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3.1545741324921135E-3</v>
      </c>
      <c r="E18" s="357">
        <f>IF(ISNUMBER(
   IF(D_I="SI",(Datos!J18-Datos!T18)/Datos!T18,(Datos!J18+Datos!AD18-(Datos!T18+Datos!AL18))/(Datos!T18+Datos!AL18))
     ),IF(D_I="SI",(Datos!J18-Datos!T18)/Datos!T18,(Datos!J18+Datos!AD18-(Datos!T18+Datos!AL18))/(Datos!T18+Datos!AL18))," - ")</f>
        <v>-4.8648648648648651E-2</v>
      </c>
      <c r="F18" s="357">
        <f>IF(ISNUMBER(
   IF(D_I="SI",(Datos!K18-Datos!U18)/Datos!U18,(Datos!K18+Datos!AE18-(Datos!U18+Datos!AM18))/(Datos!U18+Datos!AM18))
     ),IF(D_I="SI",(Datos!K18-Datos!U18)/Datos!U18,(Datos!K18+Datos!AE18-(Datos!U18+Datos!AM18))/(Datos!U18+Datos!AM18))," - ")</f>
        <v>-0.23295454545454544</v>
      </c>
      <c r="G18" s="358">
        <f>IF(ISNUMBER(
   IF(D_I="SI",(Datos!L18-Datos!V18)/Datos!V18,(Datos!L18+Datos!AF18-(Datos!V18+Datos!AN18))/(Datos!V18+Datos!AN18))
     ),IF(D_I="SI",(Datos!L18-Datos!V18)/Datos!V18,(Datos!L18+Datos!AF18-(Datos!V18+Datos!AN18))/(Datos!V18+Datos!AN18))," - ")</f>
        <v>0.10429447852760736</v>
      </c>
      <c r="H18" s="359">
        <f>IF(ISNUMBER((Datos!M18-Datos!W18)/Datos!W18),(Datos!M18-Datos!W18)/Datos!W18," - ")</f>
        <v>-0.22580645161290322</v>
      </c>
      <c r="I18" s="360">
        <f>IF(ISNUMBER((Tasas!C18-Datos!BE18)/Datos!BE18),(Tasas!C18-Datos!BE18)/Datos!BE18," - ")</f>
        <v>0.43967280163599171</v>
      </c>
      <c r="J18" s="358">
        <f>IF(ISNUMBER((Tasas!D18-Datos!BF18)/Datos!BF18),(Tasas!D18-Datos!BF18)/Datos!BF18," - ")</f>
        <v>9.3189964157705894E-3</v>
      </c>
      <c r="K18" s="361">
        <f>IF(ISNUMBER((Tasas!E18-Datos!BG18)/Datos!BG18),(Tasas!E18-Datos!BG18)/Datos!BG18," - ")</f>
        <v>0.28292754906300738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0.21262886597938144</v>
      </c>
      <c r="E19" s="366">
        <f>IF(ISNUMBER(
   IF(J_V="SI",(Datos!J19-Datos!T19)/Datos!T19,(Datos!J19+Datos!Z19-(Datos!T19+Datos!AH19))/(Datos!T19+Datos!AH19))
     ),IF(J_V="SI",(Datos!J19-Datos!T19)/Datos!T19,(Datos!J19+Datos!Z19-(Datos!T19+Datos!AH19))/(Datos!T19+Datos!AH19))," - ")</f>
        <v>3.0237580993520519E-2</v>
      </c>
      <c r="F19" s="366">
        <f>IF(ISNUMBER(
   IF(J_V="SI",(Datos!K19-Datos!U19)/Datos!U19,(Datos!K19+Datos!AA19-(Datos!U19+Datos!AI19))/(Datos!U19+Datos!AI19))
     ),IF(J_V="SI",(Datos!K19-Datos!U19)/Datos!U19,(Datos!K19+Datos!AA19-(Datos!U19+Datos!AI19))/(Datos!U19+Datos!AI19))," - ")</f>
        <v>-2.5581395348837209E-2</v>
      </c>
      <c r="G19" s="367">
        <f>IF(ISNUMBER(
   IF(J_V="SI",(Datos!L19-Datos!V19)/Datos!V19,(Datos!L19+Datos!AB19-(Datos!V19+Datos!AJ19))/(Datos!V19+Datos!AJ19))
     ),IF(J_V="SI",(Datos!L19-Datos!V19)/Datos!V19,(Datos!L19+Datos!AB19-(Datos!V19+Datos!AJ19))/(Datos!V19+Datos!AJ19))," - ")</f>
        <v>0.2360939431396786</v>
      </c>
      <c r="H19" s="368">
        <f>IF(ISNUMBER((Datos!M19-Datos!W19)/Datos!W19),(Datos!M19-Datos!W19)/Datos!W19," - ")</f>
        <v>1.680672268907563E-2</v>
      </c>
      <c r="I19" s="365">
        <f>IF(ISNUMBER((Tasas!C19-Datos!BE19)/Datos!BE19),(Tasas!C19-Datos!BE19)/Datos!BE19," - ")</f>
        <v>0.26854509677819038</v>
      </c>
      <c r="J19" s="366">
        <f>IF(ISNUMBER((Tasas!D19-Datos!BF19)/Datos!BF19),(Tasas!D19-Datos!BF19)/Datos!BF19," - ")</f>
        <v>-0.17215592680986477</v>
      </c>
      <c r="K19" s="367">
        <f>IF(ISNUMBER((Tasas!E19-Datos!BG19)/Datos!BG19),(Tasas!E19-Datos!BG19)/Datos!BG19," - ")</f>
        <v>0.17451713503653146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8.5851252305376241E-2</v>
      </c>
      <c r="E21" s="281">
        <f t="shared" si="1"/>
        <v>0.21393261456732726</v>
      </c>
      <c r="F21" s="281">
        <f t="shared" si="1"/>
        <v>0.25782554511139477</v>
      </c>
      <c r="G21" s="282">
        <f t="shared" si="1"/>
        <v>8.2844568425764903E-2</v>
      </c>
      <c r="H21" s="288">
        <f t="shared" si="1"/>
        <v>0.19916457514821415</v>
      </c>
      <c r="I21" s="280">
        <f t="shared" si="1"/>
        <v>0.276189887313119</v>
      </c>
      <c r="J21" s="281">
        <f t="shared" si="1"/>
        <v>0.15955188926993968</v>
      </c>
      <c r="K21" s="282">
        <f t="shared" si="1"/>
        <v>0.19349989549101917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nPFPg/SEv30Lln5m4eLjiF2/nW55O0O05stnS2giHgwDeM19q1Gfh2KDaF1HFbh245AEfN4yUzrlvc6QFmSGw==" saltValue="z/1IhmesTWAYkGeM6ro0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